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tk+uxUF4PSf//TI8Ur7aVpNgfwiHZ3Gx/p4LGxZY9rJoIXaWEZ8JU81m9CPcYLgb5SuXb70aqcEmTd173WaOMQ==" workbookSaltValue="OWCuduOIrPXj3hPIO44Sxw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223" i="83" l="1"/>
  <c r="U223" i="83" s="1"/>
  <c r="AC223" i="83" s="1"/>
  <c r="AK223" i="83" s="1"/>
  <c r="M78" i="83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AC298" i="83"/>
  <c r="S279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G190" i="83" l="1"/>
  <c r="AC334" i="83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S478" i="83" l="1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78" i="83"/>
  <c r="AO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G280" i="83" l="1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<sst xmlns="http://schemas.openxmlformats.org/spreadsheetml/2006/main" count="65803" uniqueCount="755">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</sst>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17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0.95493972334223365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4.5060276657766393E-2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7.0000000000000021E-2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6.900000000000002E-2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21</v>
      </c>
      <c r="AC3" s="2">
        <f>SUMIFS(PERSALDATA!$H$2:$H$20871,PERSALDATA!$A$2:$A$20871,WORKING!A3,PERSALDATA!$D$2:$D$20871,WORKING!B3,PERSALDATA!$E$2:$E$20871,WORKING!C3)</f>
        <v>1264972.26</v>
      </c>
    </row>
    <row r="4" spans="1:29" x14ac:dyDescent="0.25">
      <c r="A4" s="2">
        <f>Results!$D$3</f>
        <v>17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17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0.65378991833188971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5.7855779483660816E-2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8.1434584642701424E-2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0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0.11194028609486503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8.5219696072025411E-2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9.2963167017609347E-3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4.6341867309662786E-4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7.1378135572482793E-2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7.0864758444995971E-2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6.9864758444995956E-2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6.7864758444995954E-2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1.2092425658840052E-2</v>
      </c>
      <c r="AB5" s="2">
        <f>SUMIFS(PERSALDATA!$G$2:$G$20871,PERSALDATA!$A$2:$A$20871,WORKING!A5,PERSALDATA!$D$2:$D$20871,WORKING!B5,PERSALDATA!$E$2:$E$20871,WORKING!C5,PERSALDATA!$F$2:$F$20871,"S&amp;W: BASIC SALARY (RES)")</f>
        <v>10</v>
      </c>
      <c r="AC5" s="2">
        <f>SUMIFS(PERSALDATA!$H$2:$H$20871,PERSALDATA!$A$2:$A$20871,WORKING!A5,PERSALDATA!$D$2:$D$20871,WORKING!B5,PERSALDATA!$E$2:$E$20871,WORKING!C5)</f>
        <v>1503046.9000000001</v>
      </c>
    </row>
    <row r="6" spans="1:29" x14ac:dyDescent="0.25">
      <c r="A6" s="2">
        <f>Results!$D$3</f>
        <v>17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0.73286412825458724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4.0106502060160767E-2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4.9170157257798587E-2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1.9084639594445538E-2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2.3647811604579998E-2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8.949965161129414E-2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2.2772238739405284E-2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4.4720445698323753E-4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2.240766642074498E-2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7.2594137410871409E-2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6.9863015601490719E-2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6.8863015601490704E-2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6.6863015601490702E-2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1.3901022400209569E-2</v>
      </c>
      <c r="AB6" s="2">
        <f>SUMIFS(PERSALDATA!$G$2:$G$20871,PERSALDATA!$A$2:$A$20871,WORKING!A6,PERSALDATA!$D$2:$D$20871,WORKING!B6,PERSALDATA!$E$2:$E$20871,WORKING!C6,PERSALDATA!$F$2:$F$20871,"S&amp;W: BASIC SALARY (RES)")</f>
        <v>12</v>
      </c>
      <c r="AC6" s="2">
        <f>SUMIFS(PERSALDATA!$H$2:$H$20871,PERSALDATA!$A$2:$A$20871,WORKING!A6,PERSALDATA!$D$2:$D$20871,WORKING!B6,PERSALDATA!$E$2:$E$20871,WORKING!C6)</f>
        <v>1598530.5800000003</v>
      </c>
    </row>
    <row r="7" spans="1:29" x14ac:dyDescent="0.25">
      <c r="A7" s="2">
        <f>Results!$D$3</f>
        <v>17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0.72116360790079281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4.828525192947207E-2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5.098398399081816E-2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2.184584322887935E-2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3.1433029430385374E-2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8.1209635770154776E-2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4.5255356563353496E-3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3.9791696994293657E-4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3.5715805033021374E-2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4.4393900901980657E-3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7.2565279628723223E-2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6.9961655601547643E-2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6.8961655601547628E-2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6.6961655601547626E-2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1.3757776044132806E-2</v>
      </c>
      <c r="AB7" s="2">
        <f>SUMIFS(PERSALDATA!$G$2:$G$20871,PERSALDATA!$A$2:$A$20871,WORKING!A7,PERSALDATA!$D$2:$D$20871,WORKING!B7,PERSALDATA!$E$2:$E$20871,WORKING!C7,PERSALDATA!$F$2:$F$20871,"S&amp;W: BASIC SALARY (RES)")</f>
        <v>36</v>
      </c>
      <c r="AC7" s="2">
        <f>SUMIFS(PERSALDATA!$H$2:$H$20871,PERSALDATA!$A$2:$A$20871,WORKING!A7,PERSALDATA!$D$2:$D$20871,WORKING!B7,PERSALDATA!$E$2:$E$20871,WORKING!C7)</f>
        <v>6449084.089999998</v>
      </c>
    </row>
    <row r="8" spans="1:29" x14ac:dyDescent="0.25">
      <c r="A8" s="2">
        <f>Results!$D$3</f>
        <v>17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0.69706490690013878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4.711063978482706E-2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4.1217563413166132E-2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1.237869384695848E-2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5.7291556823731396E-2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8.500454904508209E-2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1.798718025995635E-2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2.9996719257022295E-4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1.6988221802284473E-2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2.3304533663966138E-2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1.3521872673189098E-3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7.3669546976131609E-2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7.0447197718224316E-2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6.9447197718224329E-2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6.7447197718224328E-2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1.3517863688557986E-2</v>
      </c>
      <c r="AB8" s="2">
        <f>SUMIFS(PERSALDATA!$G$2:$G$20871,PERSALDATA!$A$2:$A$20871,WORKING!A8,PERSALDATA!$D$2:$D$20871,WORKING!B8,PERSALDATA!$E$2:$E$20871,WORKING!C8,PERSALDATA!$F$2:$F$20871,"S&amp;W: BASIC SALARY (RES)")</f>
        <v>52</v>
      </c>
      <c r="AC8" s="2">
        <f>SUMIFS(PERSALDATA!$H$2:$H$20871,PERSALDATA!$A$2:$A$20871,WORKING!A8,PERSALDATA!$D$2:$D$20871,WORKING!B8,PERSALDATA!$E$2:$E$20871,WORKING!C8)</f>
        <v>13137603.369999999</v>
      </c>
    </row>
    <row r="9" spans="1:29" x14ac:dyDescent="0.25">
      <c r="A9" s="2">
        <f>Results!$D$3</f>
        <v>17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0.71030931959979471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4.1402322522227086E-2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2.9993981066184745E-2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9.1113529152791507E-3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3.2050060443442024E-2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6.6164250584460862E-2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2.0373577328336525E-2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2.4919645232551453E-4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7.5681639111606011E-2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1.120295490920613E-2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1.6771421990879412E-3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1.7842028680493938E-3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7.4169158285178172E-2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7.0180811095989781E-2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6.918081109598978E-2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6.7180811095989806E-2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1.4065601430570717E-2</v>
      </c>
      <c r="AB9" s="2">
        <f>SUMIFS(PERSALDATA!$G$2:$G$20871,PERSALDATA!$A$2:$A$20871,WORKING!A9,PERSALDATA!$D$2:$D$20871,WORKING!B9,PERSALDATA!$E$2:$E$20871,WORKING!C9,PERSALDATA!$F$2:$F$20871,"S&amp;W: BASIC SALARY (RES)")</f>
        <v>38</v>
      </c>
      <c r="AC9" s="2">
        <f>SUMIFS(PERSALDATA!$H$2:$H$20871,PERSALDATA!$A$2:$A$20871,WORKING!A9,PERSALDATA!$D$2:$D$20871,WORKING!B9,PERSALDATA!$E$2:$E$20871,WORKING!C9)</f>
        <v>10592125.109999999</v>
      </c>
    </row>
    <row r="10" spans="1:29" x14ac:dyDescent="0.25">
      <c r="A10" s="2">
        <f>Results!$D$3</f>
        <v>17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0.74832946253173793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5.0788199516558073E-2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2.383123974040283E-2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6.4995610289780769E-3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3.1809425326127787E-2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8.3957728838489259E-2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1.23392734714805E-2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2.1421406557617874E-4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3.8574442762327167E-2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3.6564527183220587E-3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7.4634157734295145E-2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7.0238828982487886E-2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6.9238828982487885E-2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6.7238828982487883E-2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1.4162176813018394E-2</v>
      </c>
      <c r="AB10" s="2">
        <f>SUMIFS(PERSALDATA!$G$2:$G$20871,PERSALDATA!$A$2:$A$20871,WORKING!A10,PERSALDATA!$D$2:$D$20871,WORKING!B10,PERSALDATA!$E$2:$E$20871,WORKING!C10,PERSALDATA!$F$2:$F$20871,"S&amp;W: BASIC SALARY (RES)")</f>
        <v>43</v>
      </c>
      <c r="AC10" s="2">
        <f>SUMIFS(PERSALDATA!$H$2:$H$20871,PERSALDATA!$A$2:$A$20871,WORKING!A10,PERSALDATA!$D$2:$D$20871,WORKING!B10,PERSALDATA!$E$2:$E$20871,WORKING!C10)</f>
        <v>14489384.680000002</v>
      </c>
    </row>
    <row r="11" spans="1:29" x14ac:dyDescent="0.25">
      <c r="A11" s="2">
        <f>Results!$D$3</f>
        <v>17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0.73779991634008169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5.45174091312777E-2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2.3711195926769013E-2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6.8133084981900696E-3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3.0000627214345019E-2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8.656925856531876E-2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1.7007357899337466E-2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1.7658460479834029E-4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2.6574373525740897E-2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1.6829968294141358E-2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7.4617957890566397E-2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7.0212897448947514E-2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6.9212897448947514E-2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6.7212897448947526E-2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1.4191673883811319E-2</v>
      </c>
      <c r="AB11" s="2">
        <f>SUMIFS(PERSALDATA!$G$2:$G$20871,PERSALDATA!$A$2:$A$20871,WORKING!A11,PERSALDATA!$D$2:$D$20871,WORKING!B11,PERSALDATA!$E$2:$E$20871,WORKING!C11,PERSALDATA!$F$2:$F$20871,"S&amp;W: BASIC SALARY (RES)")</f>
        <v>50</v>
      </c>
      <c r="AC11" s="2">
        <f>SUMIFS(PERSALDATA!$H$2:$H$20871,PERSALDATA!$A$2:$A$20871,WORKING!A11,PERSALDATA!$D$2:$D$20871,WORKING!B11,PERSALDATA!$E$2:$E$20871,WORKING!C11)</f>
        <v>19826077.159999993</v>
      </c>
    </row>
    <row r="12" spans="1:29" x14ac:dyDescent="0.25">
      <c r="A12" s="2">
        <f>Results!$D$3</f>
        <v>17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0.74797735673139243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6.2615433175585308E-2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1.9702316011327874E-2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7.2292145982623367E-3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3.368024844056839E-2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9.7240594490210483E-2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2.9225383909478642E-2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1.371268442080322E-4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1.059665793706991E-3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1.1326600052596386E-3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7.4974147461307039E-2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7.0308180566495265E-2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6.930818056649525E-2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6.7308180566495263E-2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1.4197204630558437E-2</v>
      </c>
      <c r="AB12" s="2">
        <f>SUMIFS(PERSALDATA!$G$2:$G$20871,PERSALDATA!$A$2:$A$20871,WORKING!A12,PERSALDATA!$D$2:$D$20871,WORKING!B12,PERSALDATA!$E$2:$E$20871,WORKING!C12,PERSALDATA!$F$2:$F$20871,"S&amp;W: BASIC SALARY (RES)")</f>
        <v>13</v>
      </c>
      <c r="AC12" s="2">
        <f>SUMIFS(PERSALDATA!$H$2:$H$20871,PERSALDATA!$A$2:$A$20871,WORKING!A12,PERSALDATA!$D$2:$D$20871,WORKING!B12,PERSALDATA!$E$2:$E$20871,WORKING!C12)</f>
        <v>7841717.6899999985</v>
      </c>
    </row>
    <row r="13" spans="1:29" x14ac:dyDescent="0.25">
      <c r="A13" s="2">
        <f>Results!$D$3</f>
        <v>17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0.68453523554574713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5.7194647114395605E-2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6.7033132177847328E-3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1.0397966989040915E-3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2.5856740302497322E-2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8.4660159312245395E-2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1.7903282632052233E-2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1.1501596412865073E-4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9.2290654160605459E-2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2.9701155051639377E-2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1.450987395773384E-2</v>
      </c>
      <c r="AB13" s="2">
        <f>SUMIFS(PERSALDATA!$G$2:$G$20871,PERSALDATA!$A$2:$A$20871,WORKING!A13,PERSALDATA!$D$2:$D$20871,WORKING!B13,PERSALDATA!$E$2:$E$20871,WORKING!C13,PERSALDATA!$F$2:$F$20871,"S&amp;W: BASIC SALARY (RES)")</f>
        <v>48</v>
      </c>
      <c r="AC13" s="2">
        <f>SUMIFS(PERSALDATA!$H$2:$H$20871,PERSALDATA!$A$2:$A$20871,WORKING!A13,PERSALDATA!$D$2:$D$20871,WORKING!B13,PERSALDATA!$E$2:$E$20871,WORKING!C13)</f>
        <v>29643102.379999988</v>
      </c>
    </row>
    <row r="14" spans="1:29" x14ac:dyDescent="0.25">
      <c r="A14" s="2">
        <f>Results!$D$3</f>
        <v>17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0.68035846243993503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4.0797723637061148E-2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0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4.592129257834557E-3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1.2741558632334624E-2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8.8446333636234373E-2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1.6836060414730205E-2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9.7259782617975673E-5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0.11738546404303488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3.8745008156216967E-2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1.4807417723775706E-2</v>
      </c>
      <c r="AB14" s="2">
        <f>SUMIFS(PERSALDATA!$G$2:$G$20871,PERSALDATA!$A$2:$A$20871,WORKING!A14,PERSALDATA!$D$2:$D$20871,WORKING!B14,PERSALDATA!$E$2:$E$20871,WORKING!C14,PERSALDATA!$F$2:$F$20871,"S&amp;W: BASIC SALARY (RES)")</f>
        <v>14</v>
      </c>
      <c r="AC14" s="2">
        <f>SUMIFS(PERSALDATA!$H$2:$H$20871,PERSALDATA!$A$2:$A$20871,WORKING!A14,PERSALDATA!$D$2:$D$20871,WORKING!B14,PERSALDATA!$E$2:$E$20871,WORKING!C14)</f>
        <v>10491181.170000004</v>
      </c>
    </row>
    <row r="15" spans="1:29" x14ac:dyDescent="0.25">
      <c r="A15" s="2">
        <f>Results!$D$3</f>
        <v>17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0.63764300063480506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4.6290004859298434E-2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1.3846903861378868E-2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1.4626652325629597E-2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7.8530736372706883E-2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7.7990182234666353E-5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0.18552912263193547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2.3455589132011165E-2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1.4571726804461354E-2</v>
      </c>
      <c r="AB15" s="2">
        <f>SUMIFS(PERSALDATA!$G$2:$G$20871,PERSALDATA!$A$2:$A$20871,WORKING!A15,PERSALDATA!$D$2:$D$20871,WORKING!B15,PERSALDATA!$E$2:$E$20871,WORKING!C15,PERSALDATA!$F$2:$F$20871,"S&amp;W: BASIC SALARY (RES)")</f>
        <v>33</v>
      </c>
      <c r="AC15" s="2">
        <f>SUMIFS(PERSALDATA!$H$2:$H$20871,PERSALDATA!$A$2:$A$20871,WORKING!A15,PERSALDATA!$D$2:$D$20871,WORKING!B15,PERSALDATA!$E$2:$E$20871,WORKING!C15)</f>
        <v>32277396.049999997</v>
      </c>
    </row>
    <row r="16" spans="1:29" x14ac:dyDescent="0.25">
      <c r="A16" s="2">
        <f>Results!$D$3</f>
        <v>17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0.59214533190776519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3.7039885256449835E-2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1.3719327250041753E-2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7.4060366526085691E-3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7.6978764296816132E-2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6.4390168041305587E-5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0.24284265823260384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2.7382967964891675E-2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2.4206382707815202E-3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1.4682153688939624E-2</v>
      </c>
      <c r="AB16" s="2">
        <f>SUMIFS(PERSALDATA!$G$2:$G$20871,PERSALDATA!$A$2:$A$20871,WORKING!A16,PERSALDATA!$D$2:$D$20871,WORKING!B16,PERSALDATA!$E$2:$E$20871,WORKING!C16,PERSALDATA!$F$2:$F$20871,"S&amp;W: BASIC SALARY (RES)")</f>
        <v>13</v>
      </c>
      <c r="AC16" s="2">
        <f>SUMIFS(PERSALDATA!$H$2:$H$20871,PERSALDATA!$A$2:$A$20871,WORKING!A16,PERSALDATA!$D$2:$D$20871,WORKING!B16,PERSALDATA!$E$2:$E$20871,WORKING!C16)</f>
        <v>11008047.060000001</v>
      </c>
    </row>
    <row r="17" spans="1:29" x14ac:dyDescent="0.25">
      <c r="A17" s="2">
        <f>Results!$D$3</f>
        <v>17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0.61038634749295273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3.9282524067975701E-2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5.6681399699828362E-2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1.1361539220188914E-2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7.9350087434839081E-2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5.1949801569931937E-5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0.20041678308343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2.469369199215597E-3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1.3978576669176198E-2</v>
      </c>
      <c r="AB17" s="2">
        <f>SUMIFS(PERSALDATA!$G$2:$G$20871,PERSALDATA!$A$2:$A$20871,WORKING!A17,PERSALDATA!$D$2:$D$20871,WORKING!B17,PERSALDATA!$E$2:$E$20871,WORKING!C17,PERSALDATA!$F$2:$F$20871,"S&amp;W: BASIC SALARY (RES)")</f>
        <v>2</v>
      </c>
      <c r="AC17" s="2">
        <f>SUMIFS(PERSALDATA!$H$2:$H$20871,PERSALDATA!$A$2:$A$20871,WORKING!A17,PERSALDATA!$D$2:$D$20871,WORKING!B17,PERSALDATA!$E$2:$E$20871,WORKING!C17)</f>
        <v>2822724.9299999992</v>
      </c>
    </row>
    <row r="18" spans="1:29" x14ac:dyDescent="0.25">
      <c r="A18" s="2">
        <f>Results!$D$3</f>
        <v>17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0.62140878884523032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3.6702991284373383E-2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6.090043401877401E-3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9.232623201904501E-2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1.8960593725080722E-5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0.24345298385574879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1.4908364940065961E-2</v>
      </c>
      <c r="AB18" s="2">
        <f>SUMIFS(PERSALDATA!$G$2:$G$20871,PERSALDATA!$A$2:$A$20871,WORKING!A18,PERSALDATA!$D$2:$D$20871,WORKING!B18,PERSALDATA!$E$2:$E$20871,WORKING!C18,PERSALDATA!$F$2:$F$20871,"S&amp;W: BASIC SALARY (RES)")</f>
        <v>4</v>
      </c>
      <c r="AC18" s="2">
        <f>SUMIFS(PERSALDATA!$H$2:$H$20871,PERSALDATA!$A$2:$A$20871,WORKING!A18,PERSALDATA!$D$2:$D$20871,WORKING!B18,PERSALDATA!$E$2:$E$20871,WORKING!C18)</f>
        <v>7733935.0300000003</v>
      </c>
    </row>
    <row r="19" spans="1:29" x14ac:dyDescent="0.25">
      <c r="A19" s="2">
        <f>Results!$D$3</f>
        <v>17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17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0.94890694949241117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5.1093050507588722E-2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7.5999999999999984E-2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6.9999999999999993E-2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6.8999999999999992E-2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1.4999999999999998E-2</v>
      </c>
      <c r="AB20" s="2">
        <f>SUMIFS(PERSALDATA!$G$2:$G$20871,PERSALDATA!$A$2:$A$20871,WORKING!A20,PERSALDATA!$D$2:$D$20871,WORKING!B20,PERSALDATA!$E$2:$E$20871,WORKING!C20,PERSALDATA!$F$2:$F$20871,"S&amp;W: BASIC SALARY (RES)")</f>
        <v>6</v>
      </c>
      <c r="AC20" s="2">
        <f>SUMIFS(PERSALDATA!$H$2:$H$20871,PERSALDATA!$A$2:$A$20871,WORKING!A20,PERSALDATA!$D$2:$D$20871,WORKING!B20,PERSALDATA!$E$2:$E$20871,WORKING!C20)</f>
        <v>376625.78</v>
      </c>
    </row>
    <row r="21" spans="1:29" x14ac:dyDescent="0.25">
      <c r="A21" s="2">
        <f>Results!$D$3</f>
        <v>17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17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17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0.72911897652624347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0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0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0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0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0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4.8751631105104523E-4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0.27039350716270555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7.6000000000000012E-2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7.0000000000000007E-2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6.9000000000000006E-2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6.7000000000000004E-2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1.4992687255334234E-2</v>
      </c>
      <c r="AB23" s="2">
        <f>SUMIFS(PERSALDATA!$G$2:$G$20871,PERSALDATA!$A$2:$A$20871,WORKING!A23,PERSALDATA!$D$2:$D$20871,WORKING!B23,PERSALDATA!$E$2:$E$20871,WORKING!C23,PERSALDATA!$F$2:$F$20871,"S&amp;W: BASIC SALARY (RES)")</f>
        <v>15</v>
      </c>
      <c r="AC23" s="2">
        <f>SUMIFS(PERSALDATA!$H$2:$H$20871,PERSALDATA!$A$2:$A$20871,WORKING!A23,PERSALDATA!$D$2:$D$20871,WORKING!B23,PERSALDATA!$E$2:$E$20871,WORKING!C23)</f>
        <v>2193259.9500000002</v>
      </c>
    </row>
    <row r="24" spans="1:29" x14ac:dyDescent="0.25">
      <c r="A24" s="2">
        <f>Results!$D$3</f>
        <v>17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0.76450760452338395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6.285232753842504E-2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6.4848519365739071E-2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0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0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9.9721757648916304E-2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7.6421200850264959E-3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4.2767083850916299E-4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7.1071512528203831E-2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6.9351514806342607E-2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6.835151480634262E-2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6.6351514806342618E-2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1.4020857146936277E-2</v>
      </c>
      <c r="AB24" s="2">
        <f>SUMIFS(PERSALDATA!$G$2:$G$20871,PERSALDATA!$A$2:$A$20871,WORKING!A24,PERSALDATA!$D$2:$D$20871,WORKING!B24,PERSALDATA!$E$2:$E$20871,WORKING!C24,PERSALDATA!$F$2:$F$20871,"S&amp;W: BASIC SALARY (RES)")</f>
        <v>5</v>
      </c>
      <c r="AC24" s="2">
        <f>SUMIFS(PERSALDATA!$H$2:$H$20871,PERSALDATA!$A$2:$A$20871,WORKING!A24,PERSALDATA!$D$2:$D$20871,WORKING!B24,PERSALDATA!$E$2:$E$20871,WORKING!C24)</f>
        <v>971494.81</v>
      </c>
    </row>
    <row r="25" spans="1:29" x14ac:dyDescent="0.25">
      <c r="A25" s="2">
        <f>Results!$D$3</f>
        <v>17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0.72485811019285451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5.3814967799740786E-2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4.3219622632976212E-2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6.8738218522244265E-2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8.8498501004176319E-2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4.2387751876555363E-3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3.1665386663735782E-4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1.6315150793715056E-2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7.3677643739205212E-2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7.059887705150393E-2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6.9598877051503916E-2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6.7598877051503914E-2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1.3315882574672132E-2</v>
      </c>
      <c r="AB25" s="2">
        <f>SUMIFS(PERSALDATA!$G$2:$G$20871,PERSALDATA!$A$2:$A$20871,WORKING!A25,PERSALDATA!$D$2:$D$20871,WORKING!B25,PERSALDATA!$E$2:$E$20871,WORKING!C25,PERSALDATA!$F$2:$F$20871,"S&amp;W: BASIC SALARY (RES)")</f>
        <v>9</v>
      </c>
      <c r="AC25" s="2">
        <f>SUMIFS(PERSALDATA!$H$2:$H$20871,PERSALDATA!$A$2:$A$20871,WORKING!A25,PERSALDATA!$D$2:$D$20871,WORKING!B25,PERSALDATA!$E$2:$E$20871,WORKING!C25)</f>
        <v>2103211.33</v>
      </c>
    </row>
    <row r="26" spans="1:29" x14ac:dyDescent="0.25">
      <c r="A26" s="2">
        <f>Results!$D$3</f>
        <v>17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0.74053791975877814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6.1785061744646888E-2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3.8105179888286433E-2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5.8844044269545641E-2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9.6269295160349461E-2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4.2063104172382956E-3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2.5218876115519565E-4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7.3927822948263874E-2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7.050160886516034E-2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6.9501608865160339E-2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6.7501608865160337E-2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1.3541978806215191E-2</v>
      </c>
      <c r="AB26" s="2">
        <f>SUMIFS(PERSALDATA!$G$2:$G$20871,PERSALDATA!$A$2:$A$20871,WORKING!A26,PERSALDATA!$D$2:$D$20871,WORKING!B26,PERSALDATA!$E$2:$E$20871,WORKING!C26,PERSALDATA!$F$2:$F$20871,"S&amp;W: BASIC SALARY (RES)")</f>
        <v>9</v>
      </c>
      <c r="AC26" s="2">
        <f>SUMIFS(PERSALDATA!$H$2:$H$20871,PERSALDATA!$A$2:$A$20871,WORKING!A26,PERSALDATA!$D$2:$D$20871,WORKING!B26,PERSALDATA!$E$2:$E$20871,WORKING!C26)</f>
        <v>2616611.4499999997</v>
      </c>
    </row>
    <row r="27" spans="1:29" x14ac:dyDescent="0.25">
      <c r="A27" s="2">
        <f>Results!$D$3</f>
        <v>17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0.747743072846627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5.9455793288275355E-2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2.6396107860703229E-2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4.4919220915767971E-2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9.0961687105811373E-2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1.2533496351340033E-2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2.1809849978458593E-4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1.77725231316904E-2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7.4622764895407298E-2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7.0409827235129493E-2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6.9409827235129493E-2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6.7409827235129491E-2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1.3926998590856164E-2</v>
      </c>
      <c r="AB27" s="2">
        <f>SUMIFS(PERSALDATA!$G$2:$G$20871,PERSALDATA!$A$2:$A$20871,WORKING!A27,PERSALDATA!$D$2:$D$20871,WORKING!B27,PERSALDATA!$E$2:$E$20871,WORKING!C27,PERSALDATA!$F$2:$F$20871,"S&amp;W: BASIC SALARY (RES)")</f>
        <v>22</v>
      </c>
      <c r="AC27" s="2">
        <f>SUMIFS(PERSALDATA!$H$2:$H$20871,PERSALDATA!$A$2:$A$20871,WORKING!A27,PERSALDATA!$D$2:$D$20871,WORKING!B27,PERSALDATA!$E$2:$E$20871,WORKING!C27)</f>
        <v>7592028.3799999999</v>
      </c>
    </row>
    <row r="28" spans="1:29" x14ac:dyDescent="0.25">
      <c r="A28" s="2">
        <f>Results!$D$3</f>
        <v>17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0.76300105686678865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6.3689638009664776E-2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3.2539105393429961E-2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3.2435114438048897E-2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9.9220647053081659E-2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8.9299717023278592E-3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1.8446653665821794E-4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7.3981119592232011E-2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7.0161135662636431E-2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6.916113566263643E-2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6.7161135662636443E-2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1.4022619704477945E-2</v>
      </c>
      <c r="AB28" s="2">
        <f>SUMIFS(PERSALDATA!$G$2:$G$20871,PERSALDATA!$A$2:$A$20871,WORKING!A28,PERSALDATA!$D$2:$D$20871,WORKING!B28,PERSALDATA!$E$2:$E$20871,WORKING!C28,PERSALDATA!$F$2:$F$20871,"S&amp;W: BASIC SALARY (RES)")</f>
        <v>9</v>
      </c>
      <c r="AC28" s="2">
        <f>SUMIFS(PERSALDATA!$H$2:$H$20871,PERSALDATA!$A$2:$A$20871,WORKING!A28,PERSALDATA!$D$2:$D$20871,WORKING!B28,PERSALDATA!$E$2:$E$20871,WORKING!C28)</f>
        <v>3577234.1799999997</v>
      </c>
    </row>
    <row r="29" spans="1:29" x14ac:dyDescent="0.25">
      <c r="A29" s="2">
        <f>Results!$D$3</f>
        <v>17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0.75921777179548633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6.6211595401112822E-2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1.5125944842844883E-2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4.1010154293779168E-2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9.8047561119518636E-2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2.0243831198519698E-2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1.4314134873838325E-4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7.5424570352056686E-2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7.0463892865978234E-2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6.9463892865978247E-2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6.7463892865978245E-2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1.4155811392719563E-2</v>
      </c>
      <c r="AB29" s="2">
        <f>SUMIFS(PERSALDATA!$G$2:$G$20871,PERSALDATA!$A$2:$A$20871,WORKING!A29,PERSALDATA!$D$2:$D$20871,WORKING!B29,PERSALDATA!$E$2:$E$20871,WORKING!C29,PERSALDATA!$F$2:$F$20871,"S&amp;W: BASIC SALARY (RES)")</f>
        <v>7</v>
      </c>
      <c r="AC29" s="2">
        <f>SUMIFS(PERSALDATA!$H$2:$H$20871,PERSALDATA!$A$2:$A$20871,WORKING!A29,PERSALDATA!$D$2:$D$20871,WORKING!B29,PERSALDATA!$E$2:$E$20871,WORKING!C29)</f>
        <v>3927027.41</v>
      </c>
    </row>
    <row r="30" spans="1:29" x14ac:dyDescent="0.25">
      <c r="A30" s="2">
        <f>Results!$D$3</f>
        <v>17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0.70541919151637522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3.1824389483233843E-2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1.5250844686037403E-3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1.3614732656004063E-2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7.0281169387944778E-2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1.2412560817667933E-2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1.1820393112353084E-4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0.16480466773904676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1.4771129684164028E-2</v>
      </c>
      <c r="AB30" s="2">
        <f>SUMIFS(PERSALDATA!$G$2:$G$20871,PERSALDATA!$A$2:$A$20871,WORKING!A30,PERSALDATA!$D$2:$D$20871,WORKING!B30,PERSALDATA!$E$2:$E$20871,WORKING!C30,PERSALDATA!$F$2:$F$20871,"S&amp;W: BASIC SALARY (RES)")</f>
        <v>12</v>
      </c>
      <c r="AC30" s="2">
        <f>SUMIFS(PERSALDATA!$H$2:$H$20871,PERSALDATA!$A$2:$A$20871,WORKING!A30,PERSALDATA!$D$2:$D$20871,WORKING!B30,PERSALDATA!$E$2:$E$20871,WORKING!C30)</f>
        <v>7081574.9700000007</v>
      </c>
    </row>
    <row r="31" spans="1:29" x14ac:dyDescent="0.25">
      <c r="A31" s="2">
        <f>Results!$D$3</f>
        <v>17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0.70045655720080491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6.6209738855922753E-2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5.2104687263982864E-3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7.2873688481094913E-3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9.1059145378676598E-2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1.0460334790631664E-2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9.7400239260513389E-5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0.11921898596019564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1.4811071432793475E-2</v>
      </c>
      <c r="AB31" s="2">
        <f>SUMIFS(PERSALDATA!$G$2:$G$20871,PERSALDATA!$A$2:$A$20871,WORKING!A31,PERSALDATA!$D$2:$D$20871,WORKING!B31,PERSALDATA!$E$2:$E$20871,WORKING!C31,PERSALDATA!$F$2:$F$20871,"S&amp;W: BASIC SALARY (RES)")</f>
        <v>6</v>
      </c>
      <c r="AC31" s="2">
        <f>SUMIFS(PERSALDATA!$H$2:$H$20871,PERSALDATA!$A$2:$A$20871,WORKING!A31,PERSALDATA!$D$2:$D$20871,WORKING!B31,PERSALDATA!$E$2:$E$20871,WORKING!C31)</f>
        <v>3952043.6800000006</v>
      </c>
    </row>
    <row r="32" spans="1:29" x14ac:dyDescent="0.25">
      <c r="A32" s="2">
        <f>Results!$D$3</f>
        <v>17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0.67817963075412924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5.3439156716293693E-2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2.4634212125958315E-3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1.7189147057761856E-2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8.8163145655673389E-2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8.1825055384907025E-5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0.15156153548215962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8.9221380660013082E-3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1.4703984100113858E-2</v>
      </c>
      <c r="AB32" s="2">
        <f>SUMIFS(PERSALDATA!$G$2:$G$20871,PERSALDATA!$A$2:$A$20871,WORKING!A32,PERSALDATA!$D$2:$D$20871,WORKING!B32,PERSALDATA!$E$2:$E$20871,WORKING!C32,PERSALDATA!$F$2:$F$20871,"S&amp;W: BASIC SALARY (RES)")</f>
        <v>8</v>
      </c>
      <c r="AC32" s="2">
        <f>SUMIFS(PERSALDATA!$H$2:$H$20871,PERSALDATA!$A$2:$A$20871,WORKING!A32,PERSALDATA!$D$2:$D$20871,WORKING!B32,PERSALDATA!$E$2:$E$20871,WORKING!C32)</f>
        <v>5675034.3500000015</v>
      </c>
    </row>
    <row r="33" spans="1:29" x14ac:dyDescent="0.25">
      <c r="A33" s="2">
        <f>Results!$D$3</f>
        <v>17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0.69995582938475454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5.8329652448729549E-2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1.6593148360635836E-2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9.0994077369529677E-2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6.3365085302178082E-5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0.13406392735104819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1.4750152298310929E-2</v>
      </c>
      <c r="AB33" s="2">
        <f>SUMIFS(PERSALDATA!$G$2:$G$20871,PERSALDATA!$A$2:$A$20871,WORKING!A33,PERSALDATA!$D$2:$D$20871,WORKING!B33,PERSALDATA!$E$2:$E$20871,WORKING!C33,PERSALDATA!$F$2:$F$20871,"S&amp;W: BASIC SALARY (RES)")</f>
        <v>1</v>
      </c>
      <c r="AC33" s="2">
        <f>SUMIFS(PERSALDATA!$H$2:$H$20871,PERSALDATA!$A$2:$A$20871,WORKING!A33,PERSALDATA!$D$2:$D$20871,WORKING!B33,PERSALDATA!$E$2:$E$20871,WORKING!C33)</f>
        <v>1157104.0999999999</v>
      </c>
    </row>
    <row r="34" spans="1:29" x14ac:dyDescent="0.25">
      <c r="A34" s="2">
        <f>Results!$D$3</f>
        <v>17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17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17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17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1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3</v>
      </c>
      <c r="AC37" s="2">
        <f>SUMIFS(PERSALDATA!$H$2:$H$20871,PERSALDATA!$A$2:$A$20871,WORKING!A37,PERSALDATA!$D$2:$D$20871,WORKING!B37,PERSALDATA!$E$2:$E$20871,WORKING!C37)</f>
        <v>156024</v>
      </c>
    </row>
    <row r="38" spans="1:29" x14ac:dyDescent="0.25">
      <c r="A38" s="2">
        <f>Results!$D$3</f>
        <v>17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17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0.72968074678806139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0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0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0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0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0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0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3.3495383009562898E-4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0.26998429938184298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0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0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7.5999999999999998E-2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7.0000000000000007E-2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6.9000000000000006E-2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6.7000000000000004E-2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1.4994975692548564E-2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18241.320000000003</v>
      </c>
    </row>
    <row r="40" spans="1:29" x14ac:dyDescent="0.25">
      <c r="A40" s="2">
        <f>Results!$D$3</f>
        <v>17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0.72940995300516021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0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0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0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0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0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0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7.0930369423413274E-4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0.26988074330060563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7.5999999999999998E-2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7.0000000000000007E-2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6.9000000000000006E-2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6.7000000000000004E-2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1.4989360444586486E-2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198123.88</v>
      </c>
    </row>
    <row r="41" spans="1:29" x14ac:dyDescent="0.25">
      <c r="A41" s="2">
        <f>Results!$D$3</f>
        <v>17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0.72676303119560548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6.0563585932967123E-2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6.9987149810375987E-2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4.7805340211652114E-2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9.4478425569077859E-2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0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4.0246728032131504E-4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7.1350251377374538E-2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7.0017208605071019E-2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6.9017208605071018E-2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6.7017208605071016E-2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1.3227075640464755E-2</v>
      </c>
      <c r="AB41" s="2">
        <f>SUMIFS(PERSALDATA!$G$2:$G$20871,PERSALDATA!$A$2:$A$20871,WORKING!A41,PERSALDATA!$D$2:$D$20871,WORKING!B41,PERSALDATA!$E$2:$E$20871,WORKING!C41,PERSALDATA!$F$2:$F$20871,"S&amp;W: BASIC SALARY (RES)")</f>
        <v>2</v>
      </c>
      <c r="AC41" s="2">
        <f>SUMIFS(PERSALDATA!$H$2:$H$20871,PERSALDATA!$A$2:$A$20871,WORKING!A41,PERSALDATA!$D$2:$D$20871,WORKING!B41,PERSALDATA!$E$2:$E$20871,WORKING!C41)</f>
        <v>364352.60000000003</v>
      </c>
    </row>
    <row r="42" spans="1:29" x14ac:dyDescent="0.25">
      <c r="A42" s="2">
        <f>Results!$D$3</f>
        <v>17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0.73264868393268312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5.9682184308907114E-2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4.3252531084826233E-2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5.3556785091940159E-2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9.2687889075404539E-2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6.6140316418948422E-3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3.3090782915548968E-4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7.3167579132267626E-3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3.9102291219618229E-3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7.3462602628840384E-2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7.0370826465530861E-2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6.937082646553086E-2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6.7370826465530859E-2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1.3542896639911171E-2</v>
      </c>
      <c r="AB42" s="2">
        <f>SUMIFS(PERSALDATA!$G$2:$G$20871,PERSALDATA!$A$2:$A$20871,WORKING!A42,PERSALDATA!$D$2:$D$20871,WORKING!B42,PERSALDATA!$E$2:$E$20871,WORKING!C42,PERSALDATA!$F$2:$F$20871,"S&amp;W: BASIC SALARY (RES)")</f>
        <v>20</v>
      </c>
      <c r="AC42" s="2">
        <f>SUMIFS(PERSALDATA!$H$2:$H$20871,PERSALDATA!$A$2:$A$20871,WORKING!A42,PERSALDATA!$D$2:$D$20871,WORKING!B42,PERSALDATA!$E$2:$E$20871,WORKING!C42)</f>
        <v>4043693.9899999998</v>
      </c>
    </row>
    <row r="43" spans="1:29" x14ac:dyDescent="0.25">
      <c r="A43" s="2">
        <f>Results!$D$3</f>
        <v>17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0.75102996384732368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6.2447267333516451E-2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3.578581320709117E-2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4.8528710534977364E-2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9.7645027631228232E-2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4.2905084987466605E-3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2.7270894711639191E-4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7.3959680143750747E-2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7.0370072525953759E-2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6.9370072525953758E-2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6.7370072525953756E-2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1.3731191509662224E-2</v>
      </c>
      <c r="AB43" s="2">
        <f>SUMIFS(PERSALDATA!$G$2:$G$20871,PERSALDATA!$A$2:$A$20871,WORKING!A43,PERSALDATA!$D$2:$D$20871,WORKING!B43,PERSALDATA!$E$2:$E$20871,WORKING!C43,PERSALDATA!$F$2:$F$20871,"S&amp;W: BASIC SALARY (RES)")</f>
        <v>19</v>
      </c>
      <c r="AC43" s="2">
        <f>SUMIFS(PERSALDATA!$H$2:$H$20871,PERSALDATA!$A$2:$A$20871,WORKING!A43,PERSALDATA!$D$2:$D$20871,WORKING!B43,PERSALDATA!$E$2:$E$20871,WORKING!C43)</f>
        <v>5130524.74</v>
      </c>
    </row>
    <row r="44" spans="1:29" x14ac:dyDescent="0.25">
      <c r="A44" s="2">
        <f>Results!$D$3</f>
        <v>17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0.755615374471723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6.7994690976093605E-2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3.5404266379956612E-2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2.7254905965471102E-2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9.8978070204023522E-2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1.453182466646284E-2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2.2086733626943504E-4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7.3690844438639908E-2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7.0054780925682514E-2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6.9054780925682527E-2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6.7054780925682497E-2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1.4056799404774544E-2</v>
      </c>
      <c r="AB44" s="2">
        <f>SUMIFS(PERSALDATA!$G$2:$G$20871,PERSALDATA!$A$2:$A$20871,WORKING!A44,PERSALDATA!$D$2:$D$20871,WORKING!B44,PERSALDATA!$E$2:$E$20871,WORKING!C44,PERSALDATA!$F$2:$F$20871,"S&amp;W: BASIC SALARY (RES)")</f>
        <v>3</v>
      </c>
      <c r="AC44" s="2">
        <f>SUMIFS(PERSALDATA!$H$2:$H$20871,PERSALDATA!$A$2:$A$20871,WORKING!A44,PERSALDATA!$D$2:$D$20871,WORKING!B44,PERSALDATA!$E$2:$E$20871,WORKING!C44)</f>
        <v>940564.61</v>
      </c>
    </row>
    <row r="45" spans="1:29" x14ac:dyDescent="0.25">
      <c r="A45" s="2">
        <f>Results!$D$3</f>
        <v>17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0.68362295847754484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5.5585267156890772E-2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2.4157549696363481E-2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3.0011265751576817E-2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7.7113651467850652E-2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0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1.630494153634207E-4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3.3462101500267176E-2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9.5884156534142964E-2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7.4584183943598475E-2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7.0208593489310037E-2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6.9208593489310022E-2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6.7208593489310034E-2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1.4185022027050445E-2</v>
      </c>
      <c r="AB45" s="2">
        <f>SUMIFS(PERSALDATA!$G$2:$G$20871,PERSALDATA!$A$2:$A$20871,WORKING!A45,PERSALDATA!$D$2:$D$20871,WORKING!B45,PERSALDATA!$E$2:$E$20871,WORKING!C45,PERSALDATA!$F$2:$F$20871,"S&amp;W: BASIC SALARY (RES)")</f>
        <v>4</v>
      </c>
      <c r="AC45" s="2">
        <f>SUMIFS(PERSALDATA!$H$2:$H$20871,PERSALDATA!$A$2:$A$20871,WORKING!A45,PERSALDATA!$D$2:$D$20871,WORKING!B45,PERSALDATA!$E$2:$E$20871,WORKING!C45)</f>
        <v>2135978.2199999997</v>
      </c>
    </row>
    <row r="46" spans="1:29" x14ac:dyDescent="0.25">
      <c r="A46" s="2">
        <f>Results!$D$3</f>
        <v>17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0.77820237032083062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6.5090635955062509E-2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1.2988823138809093E-2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4.2397419528459046E-2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0.10116589894097901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1.5485211585975327E-4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7.5606413314848936E-2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7.0506073061538818E-2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6.9506073061538803E-2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6.7506073061538802E-2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1.4166883578253081E-2</v>
      </c>
      <c r="AB46" s="2">
        <f>SUMIFS(PERSALDATA!$G$2:$G$20871,PERSALDATA!$A$2:$A$20871,WORKING!A46,PERSALDATA!$D$2:$D$20871,WORKING!B46,PERSALDATA!$E$2:$E$20871,WORKING!C46,PERSALDATA!$F$2:$F$20871,"S&amp;W: BASIC SALARY (RES)")</f>
        <v>2</v>
      </c>
      <c r="AC46" s="2">
        <f>SUMIFS(PERSALDATA!$H$2:$H$20871,PERSALDATA!$A$2:$A$20871,WORKING!A46,PERSALDATA!$D$2:$D$20871,WORKING!B46,PERSALDATA!$E$2:$E$20871,WORKING!C46)</f>
        <v>946968.01</v>
      </c>
    </row>
    <row r="47" spans="1:29" x14ac:dyDescent="0.25">
      <c r="A47" s="2">
        <f>Results!$D$3</f>
        <v>17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0.72001158777265628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5.9263356475385477E-2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3.2546879039954003E-3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2.1077366457535659E-2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9.3601156754325329E-2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0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1.2075471939136995E-4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0.10150857984459538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1.1625100721151384E-3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1.4633207863786165E-2</v>
      </c>
      <c r="AB47" s="2">
        <f>SUMIFS(PERSALDATA!$G$2:$G$20871,PERSALDATA!$A$2:$A$20871,WORKING!A47,PERSALDATA!$D$2:$D$20871,WORKING!B47,PERSALDATA!$E$2:$E$20871,WORKING!C47,PERSALDATA!$F$2:$F$20871,"S&amp;W: BASIC SALARY (RES)")</f>
        <v>12</v>
      </c>
      <c r="AC47" s="2">
        <f>SUMIFS(PERSALDATA!$H$2:$H$20871,PERSALDATA!$A$2:$A$20871,WORKING!A47,PERSALDATA!$D$2:$D$20871,WORKING!B47,PERSALDATA!$E$2:$E$20871,WORKING!C47)</f>
        <v>7640363.9100000001</v>
      </c>
    </row>
    <row r="48" spans="1:29" x14ac:dyDescent="0.25">
      <c r="A48" s="2">
        <f>Results!$D$3</f>
        <v>17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0.69985894427087514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5.8423656222720548E-2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0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1.4017977021503395E-2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9.0981383923661813E-2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0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9.9798723083742102E-5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0.13661823983815546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1.4788233363831192E-2</v>
      </c>
      <c r="AB48" s="2">
        <f>SUMIFS(PERSALDATA!$G$2:$G$20871,PERSALDATA!$A$2:$A$20871,WORKING!A48,PERSALDATA!$D$2:$D$20871,WORKING!B48,PERSALDATA!$E$2:$E$20871,WORKING!C48,PERSALDATA!$F$2:$F$20871,"S&amp;W: BASIC SALARY (RES)")</f>
        <v>5</v>
      </c>
      <c r="AC48" s="2">
        <f>SUMIFS(PERSALDATA!$H$2:$H$20871,PERSALDATA!$A$2:$A$20871,WORKING!A48,PERSALDATA!$D$2:$D$20871,WORKING!B48,PERSALDATA!$E$2:$E$20871,WORKING!C48)</f>
        <v>3795840.15</v>
      </c>
    </row>
    <row r="49" spans="1:29" x14ac:dyDescent="0.25">
      <c r="A49" s="2">
        <f>Results!$D$3</f>
        <v>17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0.63097200993095548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4.2945864770885363E-2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3.7364020344634228E-3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1.0939112003079701E-2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8.2026141273423392E-2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7.9066098021833182E-5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0.22583452868217244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3.4668752069986334E-3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1.477868129796653E-2</v>
      </c>
      <c r="AB49" s="2">
        <f>SUMIFS(PERSALDATA!$G$2:$G$20871,PERSALDATA!$A$2:$A$20871,WORKING!A49,PERSALDATA!$D$2:$D$20871,WORKING!B49,PERSALDATA!$E$2:$E$20871,WORKING!C49,PERSALDATA!$F$2:$F$20871,"S&amp;W: BASIC SALARY (RES)")</f>
        <v>13</v>
      </c>
      <c r="AC49" s="2">
        <f>SUMIFS(PERSALDATA!$H$2:$H$20871,PERSALDATA!$A$2:$A$20871,WORKING!A49,PERSALDATA!$D$2:$D$20871,WORKING!B49,PERSALDATA!$E$2:$E$20871,WORKING!C49)</f>
        <v>13291663.889999997</v>
      </c>
    </row>
    <row r="50" spans="1:29" x14ac:dyDescent="0.25">
      <c r="A50" s="2">
        <f>Results!$D$3</f>
        <v>17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0.58918281594835176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2.8713649582881091E-2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3.1149462140246432E-2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7.1992341441563541E-3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7.6593622160274766E-2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6.4399333305216859E-5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0.22954212308007751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3.7554693610706895E-2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1.4423803565734378E-2</v>
      </c>
      <c r="AB50" s="2">
        <f>SUMIFS(PERSALDATA!$G$2:$G$20871,PERSALDATA!$A$2:$A$20871,WORKING!A50,PERSALDATA!$D$2:$D$20871,WORKING!B50,PERSALDATA!$E$2:$E$20871,WORKING!C50,PERSALDATA!$F$2:$F$20871,"S&amp;W: BASIC SALARY (RES)")</f>
        <v>6</v>
      </c>
      <c r="AC50" s="2">
        <f>SUMIFS(PERSALDATA!$H$2:$H$20871,PERSALDATA!$A$2:$A$20871,WORKING!A50,PERSALDATA!$D$2:$D$20871,WORKING!B50,PERSALDATA!$E$2:$E$20871,WORKING!C50)</f>
        <v>4743837.93</v>
      </c>
    </row>
    <row r="51" spans="1:29" x14ac:dyDescent="0.25">
      <c r="A51" s="2">
        <f>Results!$D$3</f>
        <v>17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0.48171263125136099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4.0142719270946751E-2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0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0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6.2622584526227668E-2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3.9797853393240858E-5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0.17190109037107873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0.24358117672699264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1.4999403032199102E-2</v>
      </c>
      <c r="AB51" s="2">
        <f>SUMIFS(PERSALDATA!$G$2:$G$20871,PERSALDATA!$A$2:$A$20871,WORKING!A51,PERSALDATA!$D$2:$D$20871,WORKING!B51,PERSALDATA!$E$2:$E$20871,WORKING!C51,PERSALDATA!$F$2:$F$20871,"S&amp;W: BASIC SALARY (RES)")</f>
        <v>1</v>
      </c>
      <c r="AC51" s="2">
        <f>SUMIFS(PERSALDATA!$H$2:$H$20871,PERSALDATA!$A$2:$A$20871,WORKING!A51,PERSALDATA!$D$2:$D$20871,WORKING!B51,PERSALDATA!$E$2:$E$20871,WORKING!C51)</f>
        <v>1842310.42</v>
      </c>
    </row>
    <row r="52" spans="1:29" x14ac:dyDescent="0.25">
      <c r="A52" s="2">
        <f>Results!$D$3</f>
        <v>17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17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17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1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1.4999999999999999E-2</v>
      </c>
      <c r="AB54" s="2">
        <f>SUMIFS(PERSALDATA!$G$2:$G$20871,PERSALDATA!$A$2:$A$20871,WORKING!A54,PERSALDATA!$D$2:$D$20871,WORKING!B54,PERSALDATA!$E$2:$E$20871,WORKING!C54,PERSALDATA!$F$2:$F$20871,"S&amp;W: BASIC SALARY (RES)")</f>
        <v>3</v>
      </c>
      <c r="AC54" s="2">
        <f>SUMIFS(PERSALDATA!$H$2:$H$20871,PERSALDATA!$A$2:$A$20871,WORKING!A54,PERSALDATA!$D$2:$D$20871,WORKING!B54,PERSALDATA!$E$2:$E$20871,WORKING!C54)</f>
        <v>182312.97</v>
      </c>
    </row>
    <row r="55" spans="1:29" x14ac:dyDescent="0.25">
      <c r="A55" s="2">
        <f>Results!$D$3</f>
        <v>17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17</v>
      </c>
      <c r="B56" s="2">
        <v>4</v>
      </c>
      <c r="C56" s="2">
        <v>3</v>
      </c>
      <c r="D56" s="62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>0.72993362591128363</v>
      </c>
      <c r="E56" s="62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>0</v>
      </c>
      <c r="F56" s="62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>0</v>
      </c>
      <c r="G56" s="69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>0</v>
      </c>
      <c r="H56" s="62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>0</v>
      </c>
      <c r="I56" s="62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>0</v>
      </c>
      <c r="J56" s="62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>0</v>
      </c>
      <c r="K56" s="62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>0</v>
      </c>
      <c r="L56" s="62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>0</v>
      </c>
      <c r="M56" s="62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>0.27006637408871642</v>
      </c>
      <c r="N56" s="62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>0</v>
      </c>
      <c r="O56" s="62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>0</v>
      </c>
      <c r="P56" s="62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>0</v>
      </c>
      <c r="Q56" s="62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>0</v>
      </c>
      <c r="R56" s="62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>0</v>
      </c>
      <c r="S56" s="62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>0</v>
      </c>
      <c r="T56" s="62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>0</v>
      </c>
      <c r="U56" s="62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>0</v>
      </c>
      <c r="V56" s="62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>0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7.6000000000000012E-2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7.0000000000000007E-2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6.9000000000000006E-2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6.7000000000000004E-2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1.5000000000000001E-2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827.13</v>
      </c>
    </row>
    <row r="57" spans="1:29" x14ac:dyDescent="0.25">
      <c r="A57" s="2">
        <f>Results!$D$3</f>
        <v>17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0.72957445874912197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0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0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0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0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0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0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4.8319092647009334E-4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0.26994235032440789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0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7.5999999999999998E-2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7.0000000000000007E-2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6.9000000000000006E-2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6.7000000000000004E-2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1.4992752136102948E-2</v>
      </c>
      <c r="AB57" s="2">
        <f>SUMIFS(PERSALDATA!$G$2:$G$20871,PERSALDATA!$A$2:$A$20871,WORKING!A57,PERSALDATA!$D$2:$D$20871,WORKING!B57,PERSALDATA!$E$2:$E$20871,WORKING!C57,PERSALDATA!$F$2:$F$20871,"S&amp;W: BASIC SALARY (RES)")</f>
        <v>49</v>
      </c>
      <c r="AC57" s="2">
        <f>SUMIFS(PERSALDATA!$H$2:$H$20871,PERSALDATA!$A$2:$A$20871,WORKING!A57,PERSALDATA!$D$2:$D$20871,WORKING!B57,PERSALDATA!$E$2:$E$20871,WORKING!C57)</f>
        <v>7453885.8300000001</v>
      </c>
    </row>
    <row r="58" spans="1:29" x14ac:dyDescent="0.25">
      <c r="A58" s="2">
        <f>Results!$D$3</f>
        <v>17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0.73483821571581265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0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6.3500570552626409E-3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0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5.0800456442101133E-3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1.0063341113564349E-2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0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4.2032085991625963E-4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0.24324801961123396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7.5588516302818987E-2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7.0012700114110524E-2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6.9012700114110537E-2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6.7012700114110535E-2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1.4822243646609164E-2</v>
      </c>
      <c r="AB58" s="2">
        <f>SUMIFS(PERSALDATA!$G$2:$G$20871,PERSALDATA!$A$2:$A$20871,WORKING!A58,PERSALDATA!$D$2:$D$20871,WORKING!B58,PERSALDATA!$E$2:$E$20871,WORKING!C58,PERSALDATA!$F$2:$F$20871,"S&amp;W: BASIC SALARY (RES)")</f>
        <v>5</v>
      </c>
      <c r="AC58" s="2">
        <f>SUMIFS(PERSALDATA!$H$2:$H$20871,PERSALDATA!$A$2:$A$20871,WORKING!A58,PERSALDATA!$D$2:$D$20871,WORKING!B58,PERSALDATA!$E$2:$E$20871,WORKING!C58)</f>
        <v>566924.04</v>
      </c>
    </row>
    <row r="59" spans="1:29" x14ac:dyDescent="0.25">
      <c r="A59" s="2">
        <f>Results!$D$3</f>
        <v>17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0.72615867405934453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4.7605511770388326E-2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3.5560329187047331E-2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5.7961723861545335E-2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8.8330817500520117E-2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2.6751334117112016E-2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3.2517139111040163E-4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1.7306438112931866E-2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7.410887911584603E-2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7.0513822566052722E-2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6.9513822566052708E-2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6.7513822566052706E-2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1.3592291633404452E-2</v>
      </c>
      <c r="AB59" s="2">
        <f>SUMIFS(PERSALDATA!$G$2:$G$20871,PERSALDATA!$A$2:$A$20871,WORKING!A59,PERSALDATA!$D$2:$D$20871,WORKING!B59,PERSALDATA!$E$2:$E$20871,WORKING!C59,PERSALDATA!$F$2:$F$20871,"S&amp;W: BASIC SALARY (RES)")</f>
        <v>11</v>
      </c>
      <c r="AC59" s="2">
        <f>SUMIFS(PERSALDATA!$H$2:$H$20871,PERSALDATA!$A$2:$A$20871,WORKING!A59,PERSALDATA!$D$2:$D$20871,WORKING!B59,PERSALDATA!$E$2:$E$20871,WORKING!C59)</f>
        <v>2480292</v>
      </c>
    </row>
    <row r="60" spans="1:29" x14ac:dyDescent="0.25">
      <c r="A60" s="2">
        <f>Results!$D$3</f>
        <v>17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0.72017680414720442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3.5065314787662193E-2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2.1736065534536598E-2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3.5223926729724173E-2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5.4496019476618765E-2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1.8283550287060395E-2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2.5296640079241638E-4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0.11136041905478265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3.4049335816182373E-3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7.4841193993591348E-2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7.0310998245600484E-2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6.9310998245600483E-2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6.7310998245600495E-2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1.4141805620024201E-2</v>
      </c>
      <c r="AB60" s="2">
        <f>SUMIFS(PERSALDATA!$G$2:$G$20871,PERSALDATA!$A$2:$A$20871,WORKING!A60,PERSALDATA!$D$2:$D$20871,WORKING!B60,PERSALDATA!$E$2:$E$20871,WORKING!C60,PERSALDATA!$F$2:$F$20871,"S&amp;W: BASIC SALARY (RES)")</f>
        <v>9</v>
      </c>
      <c r="AC60" s="2">
        <f>SUMIFS(PERSALDATA!$H$2:$H$20871,PERSALDATA!$A$2:$A$20871,WORKING!A60,PERSALDATA!$D$2:$D$20871,WORKING!B60,PERSALDATA!$E$2:$E$20871,WORKING!C60)</f>
        <v>2608567.7700000005</v>
      </c>
    </row>
    <row r="61" spans="1:29" x14ac:dyDescent="0.25">
      <c r="A61" s="2">
        <f>Results!$D$3</f>
        <v>17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0.74963981961493398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6.5388627815649136E-2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2.7534026494681868E-2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2.475371449994837E-2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9.7452640765656212E-2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3.5028586686444783E-2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2.025841226857404E-4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7.4253965989403467E-2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7.0095965452552408E-2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6.9095965452552408E-2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6.709596545255242E-2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1.4212645123240263E-2</v>
      </c>
      <c r="AB61" s="2">
        <f>SUMIFS(PERSALDATA!$G$2:$G$20871,PERSALDATA!$A$2:$A$20871,WORKING!A61,PERSALDATA!$D$2:$D$20871,WORKING!B61,PERSALDATA!$E$2:$E$20871,WORKING!C61,PERSALDATA!$F$2:$F$20871,"S&amp;W: BASIC SALARY (RES)")</f>
        <v>6</v>
      </c>
      <c r="AC61" s="2">
        <f>SUMIFS(PERSALDATA!$H$2:$H$20871,PERSALDATA!$A$2:$A$20871,WORKING!A61,PERSALDATA!$D$2:$D$20871,WORKING!B61,PERSALDATA!$E$2:$E$20871,WORKING!C61)</f>
        <v>2081061.41</v>
      </c>
    </row>
    <row r="62" spans="1:29" x14ac:dyDescent="0.25">
      <c r="A62" s="2">
        <f>Results!$D$3</f>
        <v>17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0.73398203156308828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6.6750754580173058E-2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2.2097036441681449E-2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4.6530193093690851E-2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9.541722754190099E-2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3.1376599996907659E-2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1.7066236431573917E-4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3.6754944182420422E-3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7.4972047933743888E-2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7.0476982531988572E-2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6.9476982531988571E-2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6.7476982531988569E-2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1.3968031621504682E-2</v>
      </c>
      <c r="AB62" s="2">
        <f>SUMIFS(PERSALDATA!$G$2:$G$20871,PERSALDATA!$A$2:$A$20871,WORKING!A62,PERSALDATA!$D$2:$D$20871,WORKING!B62,PERSALDATA!$E$2:$E$20871,WORKING!C62,PERSALDATA!$F$2:$F$20871,"S&amp;W: BASIC SALARY (RES)")</f>
        <v>8</v>
      </c>
      <c r="AC62" s="2">
        <f>SUMIFS(PERSALDATA!$H$2:$H$20871,PERSALDATA!$A$2:$A$20871,WORKING!A62,PERSALDATA!$D$2:$D$20871,WORKING!B62,PERSALDATA!$E$2:$E$20871,WORKING!C62)</f>
        <v>4833227.3099999996</v>
      </c>
    </row>
    <row r="63" spans="1:29" x14ac:dyDescent="0.25">
      <c r="A63" s="2">
        <f>Results!$D$3</f>
        <v>17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0.77975155459381207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6.5300017059085919E-2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1.7906250536068376E-2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0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2.7468984155686046E-2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0.10136733999301806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8.069702491586719E-3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1.3615117074269233E-4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0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0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0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0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7.5023690737438406E-2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7.0232972256974613E-2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6.9232972256974598E-2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6.7232972256974596E-2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1.431732921206254E-2</v>
      </c>
      <c r="AB63" s="2">
        <f>SUMIFS(PERSALDATA!$G$2:$G$20871,PERSALDATA!$A$2:$A$20871,WORKING!A63,PERSALDATA!$D$2:$D$20871,WORKING!B63,PERSALDATA!$E$2:$E$20871,WORKING!C63,PERSALDATA!$F$2:$F$20871,"S&amp;W: BASIC SALARY (RES)")</f>
        <v>4</v>
      </c>
      <c r="AC63" s="2">
        <f>SUMIFS(PERSALDATA!$H$2:$H$20871,PERSALDATA!$A$2:$A$20871,WORKING!A63,PERSALDATA!$D$2:$D$20871,WORKING!B63,PERSALDATA!$E$2:$E$20871,WORKING!C63)</f>
        <v>2513088.9300000002</v>
      </c>
    </row>
    <row r="64" spans="1:29" x14ac:dyDescent="0.25">
      <c r="A64" s="2">
        <f>Results!$D$3</f>
        <v>17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0.6976852907238027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5.2467016461387947E-2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3.3285787357201567E-3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0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1.8924387001284248E-2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8.635093236469997E-2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2.5922373899343508E-2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1.137080460837883E-4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0.10592365566918199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7.165384935777324E-3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7.2869495180494356E-4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1.3899772109135329E-3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1.4664499893253679E-2</v>
      </c>
      <c r="AB64" s="2">
        <f>SUMIFS(PERSALDATA!$G$2:$G$20871,PERSALDATA!$A$2:$A$20871,WORKING!A64,PERSALDATA!$D$2:$D$20871,WORKING!B64,PERSALDATA!$E$2:$E$20871,WORKING!C64,PERSALDATA!$F$2:$F$20871,"S&amp;W: BASIC SALARY (RES)")</f>
        <v>25</v>
      </c>
      <c r="AC64" s="2">
        <f>SUMIFS(PERSALDATA!$H$2:$H$20871,PERSALDATA!$A$2:$A$20871,WORKING!A64,PERSALDATA!$D$2:$D$20871,WORKING!B64,PERSALDATA!$E$2:$E$20871,WORKING!C64)</f>
        <v>16388901.789999995</v>
      </c>
    </row>
    <row r="65" spans="1:29" x14ac:dyDescent="0.25">
      <c r="A65" s="2">
        <f>Results!$D$3</f>
        <v>17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0.74044953649621548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4.372465305234563E-2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6.777450972753305E-3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2.4106859098384278E-2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9.6258161653006324E-2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1.1988125556222596E-2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9.676190635461887E-5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7.6598451264717704E-2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1.4535283920337616E-2</v>
      </c>
      <c r="AB65" s="2">
        <f>SUMIFS(PERSALDATA!$G$2:$G$20871,PERSALDATA!$A$2:$A$20871,WORKING!A65,PERSALDATA!$D$2:$D$20871,WORKING!B65,PERSALDATA!$E$2:$E$20871,WORKING!C65,PERSALDATA!$F$2:$F$20871,"S&amp;W: BASIC SALARY (RES)")</f>
        <v>4</v>
      </c>
      <c r="AC65" s="2">
        <f>SUMIFS(PERSALDATA!$H$2:$H$20871,PERSALDATA!$A$2:$A$20871,WORKING!A65,PERSALDATA!$D$2:$D$20871,WORKING!B65,PERSALDATA!$E$2:$E$20871,WORKING!C65)</f>
        <v>3157234.1999999997</v>
      </c>
    </row>
    <row r="66" spans="1:29" x14ac:dyDescent="0.25">
      <c r="A66" s="2">
        <f>Results!$D$3</f>
        <v>17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0.63323725499686601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4.8480360790390711E-2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2.5998347880240708E-2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8.8615280145665481E-3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8.232064271292204E-2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0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7.8879041708498148E-5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0.19266699622079958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6.8628657809721785E-3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1.4931245615337539E-3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1.4475918675952265E-2</v>
      </c>
      <c r="AB66" s="2">
        <f>SUMIFS(PERSALDATA!$G$2:$G$20871,PERSALDATA!$A$2:$A$20871,WORKING!A66,PERSALDATA!$D$2:$D$20871,WORKING!B66,PERSALDATA!$E$2:$E$20871,WORKING!C66,PERSALDATA!$F$2:$F$20871,"S&amp;W: BASIC SALARY (RES)")</f>
        <v>10</v>
      </c>
      <c r="AC66" s="2">
        <f>SUMIFS(PERSALDATA!$H$2:$H$20871,PERSALDATA!$A$2:$A$20871,WORKING!A66,PERSALDATA!$D$2:$D$20871,WORKING!B66,PERSALDATA!$E$2:$E$20871,WORKING!C66)</f>
        <v>10766991.860000001</v>
      </c>
    </row>
    <row r="67" spans="1:29" x14ac:dyDescent="0.25">
      <c r="A67" s="2">
        <f>Results!$D$3</f>
        <v>17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0.61713730162169134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2.5663043099056659E-2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7.3673807939875578E-3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7.9404198061451565E-3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8.0227709155122853E-2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3.236976497052526E-2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6.0139875285589811E-5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0.21338146552079015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1.5852775157395381E-2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1.4769480892868723E-2</v>
      </c>
      <c r="AB67" s="2">
        <f>SUMIFS(PERSALDATA!$G$2:$G$20871,PERSALDATA!$A$2:$A$20871,WORKING!A67,PERSALDATA!$D$2:$D$20871,WORKING!B67,PERSALDATA!$E$2:$E$20871,WORKING!C67,PERSALDATA!$F$2:$F$20871,"S&amp;W: BASIC SALARY (RES)")</f>
        <v>5</v>
      </c>
      <c r="AC67" s="2">
        <f>SUMIFS(PERSALDATA!$H$2:$H$20871,PERSALDATA!$A$2:$A$20871,WORKING!A67,PERSALDATA!$D$2:$D$20871,WORKING!B67,PERSALDATA!$E$2:$E$20871,WORKING!C67)</f>
        <v>4876631.33</v>
      </c>
    </row>
    <row r="68" spans="1:29" x14ac:dyDescent="0.25">
      <c r="A68" s="2">
        <f>Results!$D$3</f>
        <v>17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0.59996642292923197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4.999720191076934E-2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7.5528895683445564E-3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7.7995526317140726E-2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5.6107179650559555E-5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0.26443185209486281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1.4885865048780072E-2</v>
      </c>
      <c r="AB68" s="2">
        <f>SUMIFS(PERSALDATA!$G$2:$G$20871,PERSALDATA!$A$2:$A$20871,WORKING!A68,PERSALDATA!$D$2:$D$20871,WORKING!B68,PERSALDATA!$E$2:$E$20871,WORKING!C68,PERSALDATA!$F$2:$F$20871,"S&amp;W: BASIC SALARY (RES)")</f>
        <v>2</v>
      </c>
      <c r="AC68" s="2">
        <f>SUMIFS(PERSALDATA!$H$2:$H$20871,PERSALDATA!$A$2:$A$20871,WORKING!A68,PERSALDATA!$D$2:$D$20871,WORKING!B68,PERSALDATA!$E$2:$E$20871,WORKING!C68)</f>
        <v>2613569.2599999998</v>
      </c>
    </row>
    <row r="69" spans="1:29" x14ac:dyDescent="0.25">
      <c r="A69" s="2">
        <f>Results!$D$3</f>
        <v>17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17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17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1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0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0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0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6.9000000000000006E-2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1.4999999999999999E-2</v>
      </c>
      <c r="AB71" s="2">
        <f>SUMIFS(PERSALDATA!$G$2:$G$20871,PERSALDATA!$A$2:$A$20871,WORKING!A71,PERSALDATA!$D$2:$D$20871,WORKING!B71,PERSALDATA!$E$2:$E$20871,WORKING!C71,PERSALDATA!$F$2:$F$20871,"S&amp;W: BASIC SALARY (RES)")</f>
        <v>6</v>
      </c>
      <c r="AC71" s="2">
        <f>SUMIFS(PERSALDATA!$H$2:$H$20871,PERSALDATA!$A$2:$A$20871,WORKING!A71,PERSALDATA!$D$2:$D$20871,WORKING!B71,PERSALDATA!$E$2:$E$20871,WORKING!C71)</f>
        <v>401862.72</v>
      </c>
    </row>
    <row r="72" spans="1:29" x14ac:dyDescent="0.25">
      <c r="A72" s="2">
        <f>Results!$D$3</f>
        <v>17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17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17</v>
      </c>
      <c r="B74" s="2">
        <v>5</v>
      </c>
      <c r="C74" s="2">
        <v>4</v>
      </c>
      <c r="D74" s="62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>0.67178302604656248</v>
      </c>
      <c r="E74" s="62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>3.8983874036792314E-2</v>
      </c>
      <c r="F74" s="62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>5.7606891370758397E-2</v>
      </c>
      <c r="G74" s="69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>9.0561401506622743E-2</v>
      </c>
      <c r="H74" s="62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>2.7581004365762923E-2</v>
      </c>
      <c r="I74" s="62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>7.3807775016401192E-2</v>
      </c>
      <c r="J74" s="62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>0</v>
      </c>
      <c r="K74" s="62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>4.6161063118076563E-4</v>
      </c>
      <c r="L74" s="62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>0</v>
      </c>
      <c r="M74" s="62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>3.9214417025919261E-2</v>
      </c>
      <c r="N74" s="62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>0</v>
      </c>
      <c r="O74" s="62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>0</v>
      </c>
      <c r="P74" s="62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>0</v>
      </c>
      <c r="Q74" s="62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>0</v>
      </c>
      <c r="R74" s="62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>0</v>
      </c>
      <c r="S74" s="62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>0</v>
      </c>
      <c r="T74" s="62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>0</v>
      </c>
      <c r="U74" s="62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>0</v>
      </c>
      <c r="V74" s="62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>0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7.2008010316943039E-2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6.983764615177887E-2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6.8837646151778856E-2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6.6837646151778868E-2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1.371525740448447E-2</v>
      </c>
      <c r="AB74" s="2">
        <f>SUMIFS(PERSALDATA!$G$2:$G$20871,PERSALDATA!$A$2:$A$20871,WORKING!A74,PERSALDATA!$D$2:$D$20871,WORKING!B74,PERSALDATA!$E$2:$E$20871,WORKING!C74,PERSALDATA!$F$2:$F$20871,"S&amp;W: BASIC SALARY (RES)")</f>
        <v>13</v>
      </c>
      <c r="AC74" s="2">
        <f>SUMIFS(PERSALDATA!$H$2:$H$20871,PERSALDATA!$A$2:$A$20871,WORKING!A74,PERSALDATA!$D$2:$D$20871,WORKING!B74,PERSALDATA!$E$2:$E$20871,WORKING!C74)</f>
        <v>953010.98</v>
      </c>
    </row>
    <row r="75" spans="1:29" x14ac:dyDescent="0.25">
      <c r="A75" s="2">
        <f>Results!$D$3</f>
        <v>17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0.69250429731412966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4.0498146497156717E-2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4.2716171294737142E-2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5.0008544296850276E-2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3.9182700939543964E-2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7.1537565468819508E-2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1.0518634037150617E-2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3.938742686830315E-4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5.2640065882929063E-2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0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7.330212879475359E-2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7.0160578801145776E-2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6.9160578801145803E-2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6.7160578801145787E-2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1.3765608802455538E-2</v>
      </c>
      <c r="AB75" s="2">
        <f>SUMIFS(PERSALDATA!$G$2:$G$20871,PERSALDATA!$A$2:$A$20871,WORKING!A75,PERSALDATA!$D$2:$D$20871,WORKING!B75,PERSALDATA!$E$2:$E$20871,WORKING!C75,PERSALDATA!$F$2:$F$20871,"S&amp;W: BASIC SALARY (RES)")</f>
        <v>15</v>
      </c>
      <c r="AC75" s="2">
        <f>SUMIFS(PERSALDATA!$H$2:$H$20871,PERSALDATA!$A$2:$A$20871,WORKING!A75,PERSALDATA!$D$2:$D$20871,WORKING!B75,PERSALDATA!$E$2:$E$20871,WORKING!C75)</f>
        <v>1411643.3699999999</v>
      </c>
    </row>
    <row r="76" spans="1:29" x14ac:dyDescent="0.25">
      <c r="A76" s="2">
        <f>Results!$D$3</f>
        <v>17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0.70476224644857877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5.8137397410557325E-2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5.0827143781051035E-2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1.23542085574192E-2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5.5764346694787179E-2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8.8762531560975563E-2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1.8169906108582858E-2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3.06622787128776E-4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8.7907217961401569E-3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2.1248748547791291E-3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0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7.2917837926367135E-2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7.0328193762611291E-2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6.9328193762611318E-2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6.7328193762611302E-2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1.3396528301055496E-2</v>
      </c>
      <c r="AB76" s="2">
        <f>SUMIFS(PERSALDATA!$G$2:$G$20871,PERSALDATA!$A$2:$A$20871,WORKING!A76,PERSALDATA!$D$2:$D$20871,WORKING!B76,PERSALDATA!$E$2:$E$20871,WORKING!C76,PERSALDATA!$F$2:$F$20871,"S&amp;W: BASIC SALARY (RES)")</f>
        <v>21</v>
      </c>
      <c r="AC76" s="2">
        <f>SUMIFS(PERSALDATA!$H$2:$H$20871,PERSALDATA!$A$2:$A$20871,WORKING!A76,PERSALDATA!$D$2:$D$20871,WORKING!B76,PERSALDATA!$E$2:$E$20871,WORKING!C76)</f>
        <v>4662862.8400000008</v>
      </c>
    </row>
    <row r="77" spans="1:29" x14ac:dyDescent="0.25">
      <c r="A77" s="2">
        <f>Results!$D$3</f>
        <v>17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0.70982955333780196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1.8496246357575293E-2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1.2523076629723554E-2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1.8606055041423247E-3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1.6343112572797112E-2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2.8337336167262438E-2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5.7671737593155536E-3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2.5985357818728591E-4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0.18198379454280372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2.4599247550390731E-2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0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7.527704975216018E-2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7.0119915922294718E-2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6.9119915922294717E-2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6.7119915922294729E-2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1.4563109358289382E-2</v>
      </c>
      <c r="AB77" s="2">
        <f>SUMIFS(PERSALDATA!$G$2:$G$20871,PERSALDATA!$A$2:$A$20871,WORKING!A77,PERSALDATA!$D$2:$D$20871,WORKING!B77,PERSALDATA!$E$2:$E$20871,WORKING!C77,PERSALDATA!$F$2:$F$20871,"S&amp;W: BASIC SALARY (RES)")</f>
        <v>67</v>
      </c>
      <c r="AC77" s="2">
        <f>SUMIFS(PERSALDATA!$H$2:$H$20871,PERSALDATA!$A$2:$A$20871,WORKING!A77,PERSALDATA!$D$2:$D$20871,WORKING!B77,PERSALDATA!$E$2:$E$20871,WORKING!C77)</f>
        <v>19092752.29000001</v>
      </c>
    </row>
    <row r="78" spans="1:29" x14ac:dyDescent="0.25">
      <c r="A78" s="2">
        <f>Results!$D$3</f>
        <v>17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0.74294771416254568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5.7384522956038728E-2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2.8851102827475075E-2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2.8009932896149582E-3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2.3887430869912584E-2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8.9062354256850898E-2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2.4451822554779838E-2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2.0370160867434178E-4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2.0763638619151471E-2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0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2.8472832812625956E-3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6.799435573693809E-3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7.4141740217290669E-2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7.0069800434773927E-2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6.906980043477394E-2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6.7069800434773938E-2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1.4205866470409069E-2</v>
      </c>
      <c r="AB78" s="2">
        <f>SUMIFS(PERSALDATA!$G$2:$G$20871,PERSALDATA!$A$2:$A$20871,WORKING!A78,PERSALDATA!$D$2:$D$20871,WORKING!B78,PERSALDATA!$E$2:$E$20871,WORKING!C78,PERSALDATA!$F$2:$F$20871,"S&amp;W: BASIC SALARY (RES)")</f>
        <v>8</v>
      </c>
      <c r="AC78" s="2">
        <f>SUMIFS(PERSALDATA!$H$2:$H$20871,PERSALDATA!$A$2:$A$20871,WORKING!A78,PERSALDATA!$D$2:$D$20871,WORKING!B78,PERSALDATA!$E$2:$E$20871,WORKING!C78)</f>
        <v>3119464.81</v>
      </c>
    </row>
    <row r="79" spans="1:29" x14ac:dyDescent="0.25">
      <c r="A79" s="2">
        <f>Results!$D$3</f>
        <v>17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0.73068913188493378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2.9213719780411814E-2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1.3248750582700615E-2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6.7871652406220218E-3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2.1853021858076385E-2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4.6088393816479313E-2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3.6517197483945624E-3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1.7645560286257248E-4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0.13895501995687726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9.3366215286416546E-3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7.5299037261727833E-2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7.0195307822044153E-2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6.9195307822044153E-2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6.7195307822044137E-2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1.4470826579345406E-2</v>
      </c>
      <c r="AB79" s="2">
        <f>SUMIFS(PERSALDATA!$G$2:$G$20871,PERSALDATA!$A$2:$A$20871,WORKING!A79,PERSALDATA!$D$2:$D$20871,WORKING!B79,PERSALDATA!$E$2:$E$20871,WORKING!C79,PERSALDATA!$F$2:$F$20871,"S&amp;W: BASIC SALARY (RES)")</f>
        <v>21</v>
      </c>
      <c r="AC79" s="2">
        <f>SUMIFS(PERSALDATA!$H$2:$H$20871,PERSALDATA!$A$2:$A$20871,WORKING!A79,PERSALDATA!$D$2:$D$20871,WORKING!B79,PERSALDATA!$E$2:$E$20871,WORKING!C79)</f>
        <v>8898952.3399999999</v>
      </c>
    </row>
    <row r="80" spans="1:29" x14ac:dyDescent="0.25">
      <c r="A80" s="2">
        <f>Results!$D$3</f>
        <v>17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0.75872080379238782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6.7421240564251056E-2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2.233217853171357E-2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7.69591194377488E-3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2.6720046243617977E-2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9.8633403782487639E-2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1.8335912572200914E-2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1.4050256956625812E-4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0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0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0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0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7.4676835079000442E-2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7.0177478908337143E-2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6.9177478908337142E-2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6.7177478908337154E-2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1.4262109089826534E-2</v>
      </c>
      <c r="AB80" s="2">
        <f>SUMIFS(PERSALDATA!$G$2:$G$20871,PERSALDATA!$A$2:$A$20871,WORKING!A80,PERSALDATA!$D$2:$D$20871,WORKING!B80,PERSALDATA!$E$2:$E$20871,WORKING!C80,PERSALDATA!$F$2:$F$20871,"S&amp;W: BASIC SALARY (RES)")</f>
        <v>13</v>
      </c>
      <c r="AC80" s="2">
        <f>SUMIFS(PERSALDATA!$H$2:$H$20871,PERSALDATA!$A$2:$A$20871,WORKING!A80,PERSALDATA!$D$2:$D$20871,WORKING!B80,PERSALDATA!$E$2:$E$20871,WORKING!C80)</f>
        <v>6783932.8699999992</v>
      </c>
    </row>
    <row r="81" spans="1:29" x14ac:dyDescent="0.25">
      <c r="A81" s="2">
        <f>Results!$D$3</f>
        <v>17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0.67806013590608194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5.1060961143213728E-2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2.4082839888569883E-3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1.2588865217728633E-3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2.1948970228382939E-2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8.608920418724815E-2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2.3641852982673617E-2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1.0863789485623067E-4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0.12007127332571288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1.3097706107068728E-2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2.2540877141320943E-3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1.4633011618318559E-2</v>
      </c>
      <c r="AB81" s="2">
        <f>SUMIFS(PERSALDATA!$G$2:$G$20871,PERSALDATA!$A$2:$A$20871,WORKING!A81,PERSALDATA!$D$2:$D$20871,WORKING!B81,PERSALDATA!$E$2:$E$20871,WORKING!C81,PERSALDATA!$F$2:$F$20871,"S&amp;W: BASIC SALARY (RES)")</f>
        <v>36</v>
      </c>
      <c r="AC81" s="2">
        <f>SUMIFS(PERSALDATA!$H$2:$H$20871,PERSALDATA!$A$2:$A$20871,WORKING!A81,PERSALDATA!$D$2:$D$20871,WORKING!B81,PERSALDATA!$E$2:$E$20871,WORKING!C81)</f>
        <v>25083420.510000002</v>
      </c>
    </row>
    <row r="82" spans="1:29" x14ac:dyDescent="0.25">
      <c r="A82" s="2">
        <f>Results!$D$3</f>
        <v>17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0.68813146140883885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5.8090578815850877E-2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6.7865872589034692E-3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6.6723239547527863E-4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1.2927563713855113E-2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8.8892984067983349E-2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1.7911612646530867E-2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9.8751439863939912E-5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0.12158428562670226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4.9089426259960635E-3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0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1.4702806463810664E-2</v>
      </c>
      <c r="AB82" s="2">
        <f>SUMIFS(PERSALDATA!$G$2:$G$20871,PERSALDATA!$A$2:$A$20871,WORKING!A82,PERSALDATA!$D$2:$D$20871,WORKING!B82,PERSALDATA!$E$2:$E$20871,WORKING!C82,PERSALDATA!$F$2:$F$20871,"S&amp;W: BASIC SALARY (RES)")</f>
        <v>21</v>
      </c>
      <c r="AC82" s="2">
        <f>SUMIFS(PERSALDATA!$H$2:$H$20871,PERSALDATA!$A$2:$A$20871,WORKING!A82,PERSALDATA!$D$2:$D$20871,WORKING!B82,PERSALDATA!$E$2:$E$20871,WORKING!C82)</f>
        <v>15344383.859999996</v>
      </c>
    </row>
    <row r="83" spans="1:29" x14ac:dyDescent="0.25">
      <c r="A83" s="2">
        <f>Results!$D$3</f>
        <v>17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0.63972655581758153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3.9595815275799452E-2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1.5183981195409021E-2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7.6980593555981778E-3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8.2276208554539182E-2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2.5188712538492123E-3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7.800277375265776E-5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0.19992468996769874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1.299781580577204E-2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1.4655599350128602E-2</v>
      </c>
      <c r="AB83" s="2">
        <f>SUMIFS(PERSALDATA!$G$2:$G$20871,PERSALDATA!$A$2:$A$20871,WORKING!A83,PERSALDATA!$D$2:$D$20871,WORKING!B83,PERSALDATA!$E$2:$E$20871,WORKING!C83,PERSALDATA!$F$2:$F$20871,"S&amp;W: BASIC SALARY (RES)")</f>
        <v>16</v>
      </c>
      <c r="AC83" s="2">
        <f>SUMIFS(PERSALDATA!$H$2:$H$20871,PERSALDATA!$A$2:$A$20871,WORKING!A83,PERSALDATA!$D$2:$D$20871,WORKING!B83,PERSALDATA!$E$2:$E$20871,WORKING!C83)</f>
        <v>14412820.799999999</v>
      </c>
    </row>
    <row r="84" spans="1:29" x14ac:dyDescent="0.25">
      <c r="A84" s="2">
        <f>Results!$D$3</f>
        <v>17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0.62115123105330639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4.9027962569645554E-2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1.8129100629904384E-2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9.4382250621851196E-3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7.5856173451513798E-2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0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6.9390956642866375E-5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0.22632791627680193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0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1.4585449250269012E-2</v>
      </c>
      <c r="AB84" s="2">
        <f>SUMIFS(PERSALDATA!$G$2:$G$20871,PERSALDATA!$A$2:$A$20871,WORKING!A84,PERSALDATA!$D$2:$D$20871,WORKING!B84,PERSALDATA!$E$2:$E$20871,WORKING!C84,PERSALDATA!$F$2:$F$20871,"S&amp;W: BASIC SALARY (RES)")</f>
        <v>7</v>
      </c>
      <c r="AC84" s="2">
        <f>SUMIFS(PERSALDATA!$H$2:$H$20871,PERSALDATA!$A$2:$A$20871,WORKING!A84,PERSALDATA!$D$2:$D$20871,WORKING!B84,PERSALDATA!$E$2:$E$20871,WORKING!C84)</f>
        <v>7659067.1999999993</v>
      </c>
    </row>
    <row r="85" spans="1:29" x14ac:dyDescent="0.25">
      <c r="A85" s="2">
        <f>Results!$D$3</f>
        <v>17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0.64996250865017391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2.4998558025006692E-2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3.2686081046227181E-2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2.5081255182424211E-3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8.4495025957245631E-2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5.7828856288532806E-5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0.20529187194681567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1.447121946868863E-2</v>
      </c>
      <c r="AB85" s="2">
        <f>SUMIFS(PERSALDATA!$G$2:$G$20871,PERSALDATA!$A$2:$A$20871,WORKING!A85,PERSALDATA!$D$2:$D$20871,WORKING!B85,PERSALDATA!$E$2:$E$20871,WORKING!C85,PERSALDATA!$F$2:$F$20871,"S&amp;W: BASIC SALARY (RES)")</f>
        <v>2</v>
      </c>
      <c r="AC85" s="2">
        <f>SUMIFS(PERSALDATA!$H$2:$H$20871,PERSALDATA!$A$2:$A$20871,WORKING!A85,PERSALDATA!$D$2:$D$20871,WORKING!B85,PERSALDATA!$E$2:$E$20871,WORKING!C85)</f>
        <v>2535758.2599999998</v>
      </c>
    </row>
    <row r="86" spans="1:29" x14ac:dyDescent="0.25">
      <c r="A86" s="2">
        <f>Results!$D$3</f>
        <v>17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17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17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17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17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17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17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17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17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17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17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17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17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17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17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17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17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17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17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17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17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17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17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17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17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17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17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17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17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17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17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17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17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17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17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17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17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17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17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17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17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17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17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17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17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17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17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17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17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17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17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17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17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17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17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17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17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17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17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17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17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17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17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17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17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17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17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17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17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17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17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17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17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17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17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17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17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17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17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17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17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17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17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17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17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17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17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17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17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17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17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17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17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17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17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17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17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17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17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17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17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17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17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17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17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17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17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17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17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17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17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17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17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17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17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17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17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17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17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17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17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17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17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17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17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17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17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17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17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17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17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17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17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17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17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17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17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17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17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17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17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17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17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17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17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17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17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17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17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17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17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17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17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17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17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17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17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17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17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17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17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17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17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17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17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17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17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17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17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17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17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17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17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17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17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17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17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17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17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17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17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17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17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17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17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17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17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17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17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17</v>
      </c>
      <c r="E3" s="74" t="str">
        <f>INDEX(MAPs!$I$7:$J$54,MATCH(Results!$D$3,MAPs!$I$7:$I$54,0),2)</f>
        <v>Social Development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393.56472332015812</v>
      </c>
      <c r="N9" s="148">
        <f>IFERROR(SUMIFS('Employee Profile (2)'!C$4:C$50,'Employee Profile (2)'!$B$4:$B$50,Results!$D$3),"")</f>
        <v>0.40365612648221344</v>
      </c>
      <c r="O9" s="150" t="s">
        <v>620</v>
      </c>
      <c r="P9" s="143">
        <f>IFERROR(INDEX('Employee Profile (2)'!$AC$4:$AC$50,MATCH(Results!$D$3,'Employee Profile (2)'!$B$4:$B$50,0))*$Q9,"")</f>
        <v>686.45009881422925</v>
      </c>
      <c r="Q9" s="148">
        <f>IFERROR(SUMIFS('Employee Profile (2)'!J$4:J$50,'Employee Profile (2)'!$B$4:$B$50,Results!$D$3),"")</f>
        <v>0.70405138339920947</v>
      </c>
      <c r="R9" s="150" t="s">
        <v>627</v>
      </c>
      <c r="S9" s="144">
        <f>IFERROR(INDEX('Employee Profile (2)'!$AC$4:$AC$50,MATCH(Results!$D$3,'Employee Profile (2)'!$B$4:$B$50,0))*$T9,"")</f>
        <v>16.378458498023715</v>
      </c>
      <c r="T9" s="147">
        <f>IFERROR(SUMIFS('Employee Profile (2)'!N$4:N$50,'Employee Profile (2)'!$B$4:$B$50,Results!$D$3),"")</f>
        <v>1.6798418972332016E-2</v>
      </c>
      <c r="U9" s="150" t="s">
        <v>632</v>
      </c>
      <c r="V9" s="144">
        <f>IFERROR(INDEX('Employee Profile (2)'!$AC$4:$AC$50,MATCH(Results!$D$3,'Employee Profile (2)'!$B$4:$B$50,0))*$W9,"")</f>
        <v>548.1966403162055</v>
      </c>
      <c r="W9" s="147">
        <f>IFERROR(SUMIFS('Employee Profile (2)'!S$4:S$50,'Employee Profile (2)'!$B$4:$B$50,Results!$D$3),"")</f>
        <v>0.56225296442687744</v>
      </c>
      <c r="X9" s="150" t="s">
        <v>635</v>
      </c>
      <c r="Y9" s="144">
        <f>IFERROR(INDEX('Employee Profile (2)'!$AC$4:$AC$50,MATCH(Results!$D$3,'Employee Profile (2)'!$B$4:$B$50,0))*$Z9,"")</f>
        <v>775.56818181818176</v>
      </c>
      <c r="Z9" s="147">
        <f>IFERROR(SUMIFS('Employee Profile (2)'!V$4:V$50,'Employee Profile (2)'!$B$4:$B$50,Results!$D$3),"")</f>
        <v>0.79545454545454541</v>
      </c>
      <c r="AA9" s="150" t="s">
        <v>675</v>
      </c>
      <c r="AB9" s="144">
        <f>IFERROR(SUMIFS('Employee Profile (2)'!$AD$4:$AD$50,'Employee Profile (2)'!$B$4:$B$50,Results!$D$3),"")</f>
        <v>389</v>
      </c>
      <c r="AC9" s="147">
        <f>IFERROR(SUMIFS('Employee Profile (2)'!$AE$4:$AE$50,'Employee Profile (2)'!$B$4:$B$50,Results!$D$3),"")</f>
        <v>0.39897435897435896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348.76482213438732</v>
      </c>
      <c r="N10" s="148">
        <f>IFERROR(SUMIFS('Employee Profile (2)'!D$4:D$50,'Employee Profile (2)'!$B$4:$B$50,Results!$D$3),"")</f>
        <v>0.35770750988142291</v>
      </c>
      <c r="O10" s="150" t="s">
        <v>621</v>
      </c>
      <c r="P10" s="143">
        <f>IFERROR(INDEX('Employee Profile (2)'!$AC$4:$AC$50,MATCH(Results!$D$3,'Employee Profile (2)'!$B$4:$B$50,0))*$Q10,"")</f>
        <v>187.38883399209487</v>
      </c>
      <c r="Q10" s="148">
        <f>IFERROR(SUMIFS('Employee Profile (2)'!K$4:K$50,'Employee Profile (2)'!$B$4:$B$50,Results!$D$3),"")</f>
        <v>0.19219367588932806</v>
      </c>
      <c r="R10" s="150" t="s">
        <v>628</v>
      </c>
      <c r="S10" s="144">
        <f>IFERROR(INDEX('Employee Profile (2)'!$AC$4:$AC$50,MATCH(Results!$D$3,'Employee Profile (2)'!$B$4:$B$50,0))*$T10,"")</f>
        <v>243.26828063241106</v>
      </c>
      <c r="T10" s="147">
        <f>IFERROR(SUMIFS('Employee Profile (2)'!O$4:O$50,'Employee Profile (2)'!$B$4:$B$50,Results!$D$3),"")</f>
        <v>0.24950592885375494</v>
      </c>
      <c r="U10" s="150" t="s">
        <v>633</v>
      </c>
      <c r="V10" s="144">
        <f>IFERROR(INDEX('Employee Profile (2)'!$AC$4:$AC$50,MATCH(Results!$D$3,'Employee Profile (2)'!$B$4:$B$50,0))*$W10,"")</f>
        <v>323.71541501976287</v>
      </c>
      <c r="W10" s="147">
        <f>IFERROR(SUMIFS('Employee Profile (2)'!T$4:T$50,'Employee Profile (2)'!$B$4:$B$50,Results!$D$3),"")</f>
        <v>0.33201581027667987</v>
      </c>
      <c r="X10" s="150" t="s">
        <v>636</v>
      </c>
      <c r="Y10" s="144">
        <f>IFERROR(INDEX('Employee Profile (2)'!$AC$4:$AC$50,MATCH(Results!$D$3,'Employee Profile (2)'!$B$4:$B$50,0))*$Z10,"")</f>
        <v>26.012845849802371</v>
      </c>
      <c r="Z10" s="147">
        <f>IFERROR(SUMIFS('Employee Profile (2)'!W$4:W$50,'Employee Profile (2)'!$B$4:$B$50,Results!$D$3),"")</f>
        <v>2.66798418972332E-2</v>
      </c>
      <c r="AA10" s="150" t="s">
        <v>676</v>
      </c>
      <c r="AB10" s="144">
        <f>IFERROR(INDEX('Employee Profile (2)'!$AC$4:$AC$50,MATCH(Results!$D$3,'Employee Profile (2)'!$B$4:$B$50))-$AB$9,"")</f>
        <v>586</v>
      </c>
      <c r="AC10" s="147">
        <f>IFERROR(100%-$AC$9,"")</f>
        <v>0.60102564102564104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9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65.51383399209486</v>
      </c>
      <c r="N11" s="148">
        <f>IFERROR(SUMIFS('Employee Profile (2)'!E$4:E$50,'Employee Profile (2)'!$B$4:$B$50,Results!$D$3),"")</f>
        <v>6.7193675889328064E-2</v>
      </c>
      <c r="O11" s="150" t="s">
        <v>622</v>
      </c>
      <c r="P11" s="143">
        <f>IFERROR(INDEX('Employee Profile (2)'!$AC$4:$AC$50,MATCH(Results!$D$3,'Employee Profile (2)'!$B$4:$B$50,0))*$Q11,"")</f>
        <v>74.184782608695656</v>
      </c>
      <c r="Q11" s="148">
        <f>IFERROR(SUMIFS('Employee Profile (2)'!L$4:L$50,'Employee Profile (2)'!$B$4:$B$50,Results!$D$3),"")</f>
        <v>7.6086956521739135E-2</v>
      </c>
      <c r="R11" s="150" t="s">
        <v>629</v>
      </c>
      <c r="S11" s="144">
        <f>IFERROR(INDEX('Employee Profile (2)'!$AC$4:$AC$50,MATCH(Results!$D$3,'Employee Profile (2)'!$B$4:$B$50,0))*$T11,"")</f>
        <v>507.25049407114631</v>
      </c>
      <c r="T11" s="147">
        <f>IFERROR(SUMIFS('Employee Profile (2)'!P$4:P$50,'Employee Profile (2)'!$B$4:$B$50,Results!$D$3),"")</f>
        <v>0.52025691699604748</v>
      </c>
      <c r="U11" s="150" t="s">
        <v>53</v>
      </c>
      <c r="V11" s="144">
        <f>IFERROR(INDEX('Employee Profile (2)'!$AC$4:$AC$50,MATCH(Results!$D$3,'Employee Profile (2)'!$B$4:$B$50,0))*$W11,"")</f>
        <v>103.08794466403162</v>
      </c>
      <c r="W11" s="147">
        <f>IFERROR(SUMIFS('Employee Profile (2)'!U$4:U$50,'Employee Profile (2)'!$B$4:$B$50,Results!$D$3),"")</f>
        <v>0.10573122529644269</v>
      </c>
      <c r="X11" s="150" t="s">
        <v>637</v>
      </c>
      <c r="Y11" s="144">
        <f>IFERROR(INDEX('Employee Profile (2)'!$AC$4:$AC$50,MATCH(Results!$D$3,'Employee Profile (2)'!$B$4:$B$50,0))*$Z11,"")</f>
        <v>17.341897233201582</v>
      </c>
      <c r="Z11" s="147">
        <f>IFERROR(SUMIFS('Employee Profile (2)'!X$4:X$50,'Employee Profile (2)'!$B$4:$B$50,Results!$D$3),"")</f>
        <v>1.7786561264822136E-2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1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40.464426877470359</v>
      </c>
      <c r="N12" s="148">
        <f>IFERROR(SUMIFS('Employee Profile (2)'!F$4:F$50,'Employee Profile (2)'!$B$4:$B$50,Results!$D$3),"")</f>
        <v>4.1501976284584984E-2</v>
      </c>
      <c r="O12" s="150" t="s">
        <v>623</v>
      </c>
      <c r="P12" s="143">
        <f>IFERROR(INDEX('Employee Profile (2)'!$AC$4:$AC$50,MATCH(Results!$D$3,'Employee Profile (2)'!$B$4:$B$50,0))*$Q12,"")</f>
        <v>26.976284584980238</v>
      </c>
      <c r="Q12" s="148">
        <f>IFERROR(SUMIFS('Employee Profile (2)'!M$4:M$50,'Employee Profile (2)'!$B$4:$B$50,Results!$D$3),"")</f>
        <v>2.766798418972332E-2</v>
      </c>
      <c r="R12" s="150" t="s">
        <v>630</v>
      </c>
      <c r="S12" s="144">
        <f>IFERROR(INDEX('Employee Profile (2)'!$AC$4:$AC$50,MATCH(Results!$D$3,'Employee Profile (2)'!$B$4:$B$50,0))*$T12,"")</f>
        <v>23.122529644268777</v>
      </c>
      <c r="T12" s="147">
        <f>IFERROR(SUMIFS('Employee Profile (2)'!Q$4:Q$50,'Employee Profile (2)'!$B$4:$B$50,Results!$D$3),"")</f>
        <v>2.3715415019762848E-2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52.989130434782609</v>
      </c>
      <c r="Z12" s="147">
        <f>IFERROR(SUMIFS('Employee Profile (2)'!Y$4:Y$50,'Employee Profile (2)'!$B$4:$B$50,Results!$D$3),"")</f>
        <v>5.434782608695652E-2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7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20.713932806324109</v>
      </c>
      <c r="N13" s="148">
        <f>IFERROR(SUMIFS('Employee Profile (2)'!G$4:G$50,'Employee Profile (2)'!$B$4:$B$50,Results!$D$3),"")</f>
        <v>2.1245059288537548E-2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184.98023715415019</v>
      </c>
      <c r="T13" s="147">
        <f>IFERROR(SUMIFS('Employee Profile (2)'!R$4:R$50,'Employee Profile (2)'!$B$4:$B$50,Results!$D$3),"")</f>
        <v>0.18972332015810275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103.08794466403162</v>
      </c>
      <c r="Z13" s="147">
        <f>IFERROR(SUMIFS('Employee Profile (2)'!Z$4:Z$50,'Employee Profile (2)'!$B$4:$B$50,Results!$D$3),"")</f>
        <v>0.10573122529644269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4.8171936758893281</v>
      </c>
      <c r="N14" s="148">
        <f>IFERROR(SUMIFS('Employee Profile (2)'!H$4:H$50,'Employee Profile (2)'!$B$4:$B$50,Results!$D$3),"")</f>
        <v>4.940711462450593E-3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17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101.16106719367589</v>
      </c>
      <c r="N15" s="148">
        <f>IFERROR(SUMIFS('Employee Profile (2)'!I$4:I$50,'Employee Profile (2)'!$B$4:$B$50,Results!$D$3),"")</f>
        <v>0.10375494071146245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17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374</v>
      </c>
      <c r="G29" s="87">
        <f t="shared" ref="G29:G44" si="4">SUMIFS($K$64:$K$509,$A$64:$A$509,B29,$C$64:$C$509,"Total")</f>
        <v>463.52139037433153</v>
      </c>
      <c r="H29" s="83">
        <f t="shared" ref="H29:H44" si="5">SUMIFS($J$64:$J$509,$A$64:$A$509,B29,$C$64:$C$509,"Total")</f>
        <v>173357</v>
      </c>
      <c r="I29" s="21">
        <f t="shared" ref="I29:I44" si="6">-SUMIFS($O$64:$O$509,$A$64:$A$509,$B29,$C$64:$C$509,"Total")+SUMIFS($N$64:$N$509,$A$64:$A$509,$B29,$C$64:$C$509,"Total")</f>
        <v>-3</v>
      </c>
      <c r="J29" s="88">
        <f t="shared" ref="J29:J44" si="7">SUMIFS($P$64:$P$509,$A$64:$A$509,$B29,$C$64:$C$509,"Total")</f>
        <v>371</v>
      </c>
      <c r="K29" s="88">
        <f t="shared" ref="K29:K44" si="8">SUMIFS($M$64:$M$509,$A$64:$A$509,$B29,$C$64:$C$509,"Total")</f>
        <v>507.12763751244188</v>
      </c>
      <c r="L29" s="88">
        <f t="shared" ref="L29:L44" si="9">SUMIFS($R$64:$R$509,$A$64:$A$509,$B29,$C$64:$C$509,"Total")+SUMIFS($Q$64:$Q$509,$A$64:$A$509,$B29,$C$64:$C$509,"Total")</f>
        <v>1570.0814770597262</v>
      </c>
      <c r="M29" s="88">
        <f t="shared" ref="M29:M44" si="10">SUMIFS($S$64:$S$509,$A$64:$A$509,$B29,$C$64:$C$509,"Total")</f>
        <v>188144.35351711593</v>
      </c>
      <c r="N29" s="88">
        <f t="shared" ref="N29:N44" si="11">SUMIFS($S$64:$S$509,$A$64:$A$509,$B29,$C$64:$C$509,"Compensation Budget")</f>
        <v>193856</v>
      </c>
      <c r="O29" s="89">
        <f t="shared" ref="O29:O44" si="12">SUMIFS($S$64:$S$509,$A$64:$A$509,$B29,$C$64:$C$509,"Under/(Over)")</f>
        <v>5711.646482884069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371</v>
      </c>
      <c r="R29" s="88">
        <f t="shared" ref="R29:R44" si="15">SUMIFS($U$64:$U$509,$A$64:$A$509,$B29,$C$64:$C$509,"Total")</f>
        <v>548.5686829774229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203518.98138462391</v>
      </c>
      <c r="U29" s="88">
        <f t="shared" ref="U29:U44" si="18">SUMIFS($AA$64:$AA$509,$A$64:$A$509,$B29,$C$64:$C$509,"Compensation Budget")</f>
        <v>197504</v>
      </c>
      <c r="V29" s="89">
        <f t="shared" ref="V29:V44" si="19">SUMIFS($AA$64:$AA$509,$A$64:$A$509,$B29,$C$64:$C$509,"Under/(Over)")</f>
        <v>-6014.9813846239122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371</v>
      </c>
      <c r="Y29" s="88">
        <f t="shared" ref="Y29:Y44" si="22">SUMIFS($AC$64:$AC$509,$A$64:$A$509,$B29,$C$64:$C$509,"Total")</f>
        <v>592.85653446641425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219949.77428703971</v>
      </c>
      <c r="AB29" s="88">
        <f t="shared" ref="AB29:AB44" si="25">SUMIFS($AI$64:$AI$509,$A$64:$A$509,$B29,$C$64:$C$509,"Compensation Budget")</f>
        <v>202804</v>
      </c>
      <c r="AC29" s="89">
        <f t="shared" ref="AC29:AC44" si="26">SUMIFS($AI$64:$AI$509,$A$64:$A$509,$B29,$C$64:$C$509,"Under/(Over)")</f>
        <v>-17145.774287039705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371</v>
      </c>
      <c r="AF29" s="88">
        <f t="shared" ref="AF29:AF44" si="29">SUMIFS($AK$64:$AK$509,$A$64:$A$509,$B29,$C$64:$C$509,"Total")</f>
        <v>639.53540196141046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237267.63412768327</v>
      </c>
      <c r="AI29" s="88">
        <f t="shared" ref="AI29:AI44" si="32">SUMIFS($AQ$64:$AQ$509,$A$64:$A$509,$B29,$C$64:$C$509,"Compensation Budget")</f>
        <v>218217.10400000002</v>
      </c>
      <c r="AJ29" s="89">
        <f t="shared" ref="AJ29:AJ44" si="33">SUMIFS($AQ$64:$AQ$509,$A$64:$A$509,$B29,$C$64:$C$509,"Under/(Over)")</f>
        <v>-19050.530127683247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Social Assistance</v>
      </c>
      <c r="D30" s="222">
        <f t="shared" si="2"/>
        <v>0</v>
      </c>
      <c r="E30" s="223">
        <f t="shared" si="2"/>
        <v>0</v>
      </c>
      <c r="F30" s="80">
        <f t="shared" si="3"/>
        <v>0</v>
      </c>
      <c r="G30" s="155">
        <f t="shared" si="4"/>
        <v>0</v>
      </c>
      <c r="H30" s="155">
        <f t="shared" si="5"/>
        <v>0</v>
      </c>
      <c r="I30" s="23">
        <f t="shared" si="6"/>
        <v>0</v>
      </c>
      <c r="J30" s="22">
        <f t="shared" si="7"/>
        <v>0</v>
      </c>
      <c r="K30" s="22">
        <f t="shared" si="8"/>
        <v>0</v>
      </c>
      <c r="L30" s="22">
        <f t="shared" si="9"/>
        <v>0</v>
      </c>
      <c r="M30" s="22">
        <f t="shared" si="10"/>
        <v>0</v>
      </c>
      <c r="N30" s="22">
        <f t="shared" si="11"/>
        <v>0</v>
      </c>
      <c r="O30" s="91">
        <f t="shared" si="12"/>
        <v>0</v>
      </c>
      <c r="P30" s="23">
        <f t="shared" si="13"/>
        <v>0</v>
      </c>
      <c r="Q30" s="22">
        <f t="shared" si="14"/>
        <v>0</v>
      </c>
      <c r="R30" s="22">
        <f t="shared" si="15"/>
        <v>0</v>
      </c>
      <c r="S30" s="22">
        <f t="shared" si="16"/>
        <v>0</v>
      </c>
      <c r="T30" s="22">
        <f t="shared" si="17"/>
        <v>0</v>
      </c>
      <c r="U30" s="22">
        <f t="shared" si="18"/>
        <v>0</v>
      </c>
      <c r="V30" s="91">
        <f t="shared" si="19"/>
        <v>0</v>
      </c>
      <c r="W30" s="23">
        <f t="shared" si="20"/>
        <v>0</v>
      </c>
      <c r="X30" s="22">
        <f t="shared" si="21"/>
        <v>0</v>
      </c>
      <c r="Y30" s="22">
        <f t="shared" si="22"/>
        <v>0</v>
      </c>
      <c r="Z30" s="22">
        <f t="shared" si="23"/>
        <v>0</v>
      </c>
      <c r="AA30" s="22">
        <f t="shared" si="24"/>
        <v>0</v>
      </c>
      <c r="AB30" s="22">
        <f t="shared" si="25"/>
        <v>0</v>
      </c>
      <c r="AC30" s="91">
        <f t="shared" si="26"/>
        <v>0</v>
      </c>
      <c r="AD30" s="23">
        <f t="shared" si="27"/>
        <v>0</v>
      </c>
      <c r="AE30" s="22">
        <f t="shared" si="28"/>
        <v>0</v>
      </c>
      <c r="AF30" s="22">
        <f t="shared" si="29"/>
        <v>0</v>
      </c>
      <c r="AG30" s="22">
        <f t="shared" si="30"/>
        <v>0</v>
      </c>
      <c r="AH30" s="22">
        <f t="shared" si="31"/>
        <v>0</v>
      </c>
      <c r="AI30" s="22">
        <f t="shared" si="32"/>
        <v>0</v>
      </c>
      <c r="AJ30" s="91">
        <f t="shared" si="33"/>
        <v>0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Social Security Policy and Administration</v>
      </c>
      <c r="D31" s="222">
        <f t="shared" si="2"/>
        <v>0</v>
      </c>
      <c r="E31" s="223">
        <f t="shared" si="2"/>
        <v>0</v>
      </c>
      <c r="F31" s="80">
        <f t="shared" si="3"/>
        <v>89</v>
      </c>
      <c r="G31" s="155">
        <f t="shared" si="4"/>
        <v>515.32584269662925</v>
      </c>
      <c r="H31" s="155">
        <f t="shared" si="5"/>
        <v>45864</v>
      </c>
      <c r="I31" s="23">
        <f t="shared" si="6"/>
        <v>-1</v>
      </c>
      <c r="J31" s="22">
        <f t="shared" si="7"/>
        <v>88</v>
      </c>
      <c r="K31" s="22">
        <f t="shared" si="8"/>
        <v>546.13101790202222</v>
      </c>
      <c r="L31" s="22">
        <f t="shared" si="9"/>
        <v>-1071.3282380919768</v>
      </c>
      <c r="M31" s="22">
        <f t="shared" si="10"/>
        <v>48059.529575377957</v>
      </c>
      <c r="N31" s="22">
        <f t="shared" si="11"/>
        <v>50683</v>
      </c>
      <c r="O31" s="91">
        <f t="shared" si="12"/>
        <v>2623.4704246220426</v>
      </c>
      <c r="P31" s="23">
        <f t="shared" si="13"/>
        <v>0</v>
      </c>
      <c r="Q31" s="22">
        <f t="shared" si="14"/>
        <v>88</v>
      </c>
      <c r="R31" s="22">
        <f t="shared" si="15"/>
        <v>590.46246355888422</v>
      </c>
      <c r="S31" s="22">
        <f t="shared" si="16"/>
        <v>0</v>
      </c>
      <c r="T31" s="22">
        <f t="shared" si="17"/>
        <v>51960.696793181814</v>
      </c>
      <c r="U31" s="22">
        <f t="shared" si="18"/>
        <v>51228</v>
      </c>
      <c r="V31" s="91">
        <f t="shared" si="19"/>
        <v>-732.69679318181443</v>
      </c>
      <c r="W31" s="23">
        <f t="shared" si="20"/>
        <v>0</v>
      </c>
      <c r="X31" s="22">
        <f t="shared" si="21"/>
        <v>88</v>
      </c>
      <c r="Y31" s="22">
        <f t="shared" si="22"/>
        <v>637.80633945594127</v>
      </c>
      <c r="Z31" s="22">
        <f t="shared" si="23"/>
        <v>0</v>
      </c>
      <c r="AA31" s="22">
        <f t="shared" si="24"/>
        <v>56126.957872122832</v>
      </c>
      <c r="AB31" s="22">
        <f t="shared" si="25"/>
        <v>52654</v>
      </c>
      <c r="AC31" s="91">
        <f t="shared" si="26"/>
        <v>-3472.9578721228318</v>
      </c>
      <c r="AD31" s="23">
        <f t="shared" si="27"/>
        <v>0</v>
      </c>
      <c r="AE31" s="22">
        <f t="shared" si="28"/>
        <v>88</v>
      </c>
      <c r="AF31" s="22">
        <f t="shared" si="29"/>
        <v>687.6661861616052</v>
      </c>
      <c r="AG31" s="22">
        <f t="shared" si="30"/>
        <v>0</v>
      </c>
      <c r="AH31" s="22">
        <f t="shared" si="31"/>
        <v>60514.624382221256</v>
      </c>
      <c r="AI31" s="22">
        <f t="shared" si="32"/>
        <v>56655.704000000005</v>
      </c>
      <c r="AJ31" s="91">
        <f t="shared" si="33"/>
        <v>-3858.9203822212512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Welfare Services Policy Development and Implementation Support</v>
      </c>
      <c r="D32" s="222">
        <f t="shared" si="2"/>
        <v>0</v>
      </c>
      <c r="E32" s="223">
        <f t="shared" si="2"/>
        <v>0</v>
      </c>
      <c r="F32" s="80">
        <f t="shared" si="3"/>
        <v>233</v>
      </c>
      <c r="G32" s="155">
        <f t="shared" si="4"/>
        <v>474.44746430902399</v>
      </c>
      <c r="H32" s="155">
        <f t="shared" si="5"/>
        <v>110546.25918400259</v>
      </c>
      <c r="I32" s="23">
        <f t="shared" si="6"/>
        <v>-3</v>
      </c>
      <c r="J32" s="22">
        <f t="shared" si="7"/>
        <v>230</v>
      </c>
      <c r="K32" s="22">
        <f t="shared" si="8"/>
        <v>517.87434494839636</v>
      </c>
      <c r="L32" s="22">
        <f t="shared" si="9"/>
        <v>-563.9032285823173</v>
      </c>
      <c r="M32" s="22">
        <f t="shared" si="10"/>
        <v>119111.09933813117</v>
      </c>
      <c r="N32" s="22">
        <f t="shared" si="11"/>
        <v>137075</v>
      </c>
      <c r="O32" s="91">
        <f t="shared" si="12"/>
        <v>17963.900661868829</v>
      </c>
      <c r="P32" s="23">
        <f t="shared" si="13"/>
        <v>0</v>
      </c>
      <c r="Q32" s="22">
        <f t="shared" si="14"/>
        <v>230</v>
      </c>
      <c r="R32" s="22">
        <f t="shared" si="15"/>
        <v>561.14028925679827</v>
      </c>
      <c r="S32" s="22">
        <f t="shared" si="16"/>
        <v>0</v>
      </c>
      <c r="T32" s="22">
        <f t="shared" si="17"/>
        <v>129062.26652906359</v>
      </c>
      <c r="U32" s="22">
        <f t="shared" si="18"/>
        <v>138650</v>
      </c>
      <c r="V32" s="91">
        <f t="shared" si="19"/>
        <v>9587.7334709364077</v>
      </c>
      <c r="W32" s="23">
        <f t="shared" si="20"/>
        <v>0</v>
      </c>
      <c r="X32" s="22">
        <f t="shared" si="21"/>
        <v>230</v>
      </c>
      <c r="Y32" s="22">
        <f t="shared" si="22"/>
        <v>607.45992230218485</v>
      </c>
      <c r="Z32" s="22">
        <f t="shared" si="23"/>
        <v>0</v>
      </c>
      <c r="AA32" s="22">
        <f t="shared" si="24"/>
        <v>139715.78212950251</v>
      </c>
      <c r="AB32" s="22">
        <f t="shared" si="25"/>
        <v>142616</v>
      </c>
      <c r="AC32" s="91">
        <f t="shared" si="26"/>
        <v>2900.217870497494</v>
      </c>
      <c r="AD32" s="23">
        <f t="shared" si="27"/>
        <v>0</v>
      </c>
      <c r="AE32" s="22">
        <f t="shared" si="28"/>
        <v>230</v>
      </c>
      <c r="AF32" s="22">
        <f t="shared" si="29"/>
        <v>656.37950701560897</v>
      </c>
      <c r="AG32" s="22">
        <f t="shared" si="30"/>
        <v>0</v>
      </c>
      <c r="AH32" s="22">
        <f t="shared" si="31"/>
        <v>150967.28661359005</v>
      </c>
      <c r="AI32" s="22">
        <f t="shared" si="32"/>
        <v>153454.81600000002</v>
      </c>
      <c r="AJ32" s="91">
        <f t="shared" si="33"/>
        <v>2487.5293864099658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Social Policy and Integrated Service Delivery</v>
      </c>
      <c r="D33" s="222">
        <f t="shared" si="2"/>
        <v>0</v>
      </c>
      <c r="E33" s="223">
        <f t="shared" si="2"/>
        <v>0</v>
      </c>
      <c r="F33" s="80">
        <f t="shared" si="3"/>
        <v>174</v>
      </c>
      <c r="G33" s="155">
        <f t="shared" si="4"/>
        <v>482.09608896850278</v>
      </c>
      <c r="H33" s="155">
        <f t="shared" si="5"/>
        <v>83884.719480519489</v>
      </c>
      <c r="I33" s="23">
        <f t="shared" si="6"/>
        <v>-4</v>
      </c>
      <c r="J33" s="22">
        <f t="shared" si="7"/>
        <v>170</v>
      </c>
      <c r="K33" s="22">
        <f t="shared" si="8"/>
        <v>532.23152323689339</v>
      </c>
      <c r="L33" s="22">
        <f t="shared" si="9"/>
        <v>-63.362390080571231</v>
      </c>
      <c r="M33" s="22">
        <f t="shared" si="10"/>
        <v>90479.358950271882</v>
      </c>
      <c r="N33" s="22">
        <f t="shared" si="11"/>
        <v>77243</v>
      </c>
      <c r="O33" s="91">
        <f t="shared" si="12"/>
        <v>-13236.358950271882</v>
      </c>
      <c r="P33" s="23">
        <f t="shared" si="13"/>
        <v>0</v>
      </c>
      <c r="Q33" s="22">
        <f t="shared" si="14"/>
        <v>170</v>
      </c>
      <c r="R33" s="22">
        <f t="shared" si="15"/>
        <v>576.3062025693564</v>
      </c>
      <c r="S33" s="22">
        <f t="shared" si="16"/>
        <v>0</v>
      </c>
      <c r="T33" s="22">
        <f t="shared" si="17"/>
        <v>97972.054436790582</v>
      </c>
      <c r="U33" s="22">
        <f t="shared" si="18"/>
        <v>78150</v>
      </c>
      <c r="V33" s="91">
        <f t="shared" si="19"/>
        <v>-19822.054436790582</v>
      </c>
      <c r="W33" s="23">
        <f t="shared" si="20"/>
        <v>0</v>
      </c>
      <c r="X33" s="22">
        <f t="shared" si="21"/>
        <v>170</v>
      </c>
      <c r="Y33" s="22">
        <f t="shared" si="22"/>
        <v>623.45659408788663</v>
      </c>
      <c r="Z33" s="22">
        <f t="shared" si="23"/>
        <v>0</v>
      </c>
      <c r="AA33" s="22">
        <f t="shared" si="24"/>
        <v>105987.62099494073</v>
      </c>
      <c r="AB33" s="22">
        <f t="shared" si="25"/>
        <v>80299</v>
      </c>
      <c r="AC33" s="91">
        <f t="shared" si="26"/>
        <v>-25688.620994940735</v>
      </c>
      <c r="AD33" s="23">
        <f t="shared" si="27"/>
        <v>0</v>
      </c>
      <c r="AE33" s="22">
        <f t="shared" si="28"/>
        <v>170</v>
      </c>
      <c r="AF33" s="22">
        <f t="shared" si="29"/>
        <v>673.21094409591149</v>
      </c>
      <c r="AG33" s="22">
        <f t="shared" si="30"/>
        <v>0</v>
      </c>
      <c r="AH33" s="22">
        <f t="shared" si="31"/>
        <v>114445.86049630496</v>
      </c>
      <c r="AI33" s="22">
        <f t="shared" si="32"/>
        <v>86401.724000000002</v>
      </c>
      <c r="AJ33" s="91">
        <f t="shared" si="33"/>
        <v>-28044.136496304956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870</v>
      </c>
      <c r="G45" s="92">
        <f>IFERROR(H45/F45,0)</f>
        <v>475.4620444419794</v>
      </c>
      <c r="H45" s="92">
        <f>SUM(H29:H38)</f>
        <v>413651.97866452206</v>
      </c>
      <c r="I45" s="25">
        <f>SUM(I29:I38)</f>
        <v>-11</v>
      </c>
      <c r="J45" s="92">
        <f>SUM(J29:J38)</f>
        <v>859</v>
      </c>
      <c r="K45" s="92">
        <f>IFERROR(M45/J45,0)</f>
        <v>518.96896551908844</v>
      </c>
      <c r="L45" s="92">
        <f t="shared" ref="L45:Q45" si="34">SUM(L29:L38)</f>
        <v>-128.51237969513909</v>
      </c>
      <c r="M45" s="92">
        <f t="shared" si="34"/>
        <v>445794.34138089698</v>
      </c>
      <c r="N45" s="92">
        <f>INDEX('ENE17'!$C$2:$C$48,MATCH(Results!$D$3,'ENE17'!$A$2:$A$48,0))</f>
        <v>454357</v>
      </c>
      <c r="O45" s="129">
        <f>N45-M45</f>
        <v>8562.6586191030219</v>
      </c>
      <c r="P45" s="25">
        <f t="shared" si="34"/>
        <v>0</v>
      </c>
      <c r="Q45" s="24">
        <f t="shared" si="34"/>
        <v>859</v>
      </c>
      <c r="R45" s="92">
        <f>IFERROR(T45/Q45,0)</f>
        <v>561.71594778074495</v>
      </c>
      <c r="S45" s="24">
        <f>SUM(S29:S38)</f>
        <v>0</v>
      </c>
      <c r="T45" s="24">
        <f>SUM(T29:T38)</f>
        <v>482513.99914365989</v>
      </c>
      <c r="U45" s="207">
        <f>INDEX('ENE17'!$D$2:$D$48,MATCH(Results!$D$3,'ENE17'!$A$2:$A$48,0))</f>
        <v>476811</v>
      </c>
      <c r="V45" s="24">
        <f>U45-T45</f>
        <v>-5702.9991436598939</v>
      </c>
      <c r="W45" s="25">
        <f t="shared" ref="W45:X45" si="35">SUM(W29:W38)</f>
        <v>0</v>
      </c>
      <c r="X45" s="24">
        <f t="shared" si="35"/>
        <v>859</v>
      </c>
      <c r="Y45" s="92">
        <f>IFERROR(AA45/X45,0)</f>
        <v>607.42739846752715</v>
      </c>
      <c r="Z45" s="24">
        <f t="shared" ref="Z45:AA45" si="36">SUM(Z29:Z38)</f>
        <v>0</v>
      </c>
      <c r="AA45" s="24">
        <f t="shared" si="36"/>
        <v>521780.13528360578</v>
      </c>
      <c r="AB45" s="207">
        <f>INDEX('ENE17'!$E$2:$E$48,MATCH(Results!$D$3,'ENE17'!$A$2:$A$48,0))</f>
        <v>490351</v>
      </c>
      <c r="AC45" s="24">
        <f>AB45-AA45</f>
        <v>-31429.135283605778</v>
      </c>
      <c r="AD45" s="25">
        <f t="shared" ref="AD45:AE45" si="37">SUM(AD29:AD38)</f>
        <v>0</v>
      </c>
      <c r="AE45" s="24">
        <f t="shared" si="37"/>
        <v>859</v>
      </c>
      <c r="AF45" s="92">
        <f>IFERROR(AH45/AE45,0)</f>
        <v>655.64075159464437</v>
      </c>
      <c r="AG45" s="24">
        <f t="shared" ref="AG45:AH45" si="38">SUM(AG29:AG38)</f>
        <v>0</v>
      </c>
      <c r="AH45" s="24">
        <f t="shared" si="38"/>
        <v>563195.40561979951</v>
      </c>
      <c r="AI45" s="207">
        <f>INDEX('ENE17'!$F$2:$F$48,MATCH(Results!$D$3,'ENE17'!$A$2:$A$48,0))</f>
        <v>527441</v>
      </c>
      <c r="AJ45" s="24">
        <f>AI45-AH45</f>
        <v>-35754.405619799509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219</v>
      </c>
      <c r="G51" s="193">
        <f>IFERROR(H51/F51,"")</f>
        <v>206.23496049865915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45165.456349206353</v>
      </c>
      <c r="I51" s="97">
        <f>SUMIFS($N$64:$N$509,$B$64:$B$509,$B51)-SUMIFS($O$64:$O$509,$B$64:$B$509,$B51)</f>
        <v>-7</v>
      </c>
      <c r="J51" s="80">
        <f>SUMIFS($P$64:$P$509,$B$64:$B$509,$B51)</f>
        <v>212</v>
      </c>
      <c r="K51" s="80">
        <f>IFERROR(M51/J51,0)</f>
        <v>224.12301465444847</v>
      </c>
      <c r="L51" s="80">
        <f>SUMIFS($R$64:$R$509,$B$64:$B$509,$B51)+SUMIFS($Q$64:$Q$509,$B$64:$B$509,$B51)</f>
        <v>-1641.456183212458</v>
      </c>
      <c r="M51" s="98">
        <f>SUMIFS($S$64:$S$509,$B$64:$B$509,$B51)</f>
        <v>47514.079106743076</v>
      </c>
      <c r="N51" s="80">
        <f>SUMIFS($V$64:$V$509,$B$64:$B$509,$B51)-SUMIFS($W$64:$W$509,$B$64:$B$509,$B51)</f>
        <v>0</v>
      </c>
      <c r="O51" s="80">
        <f>SUMIFS($X$64:$X$509,$B$64:$B$509,$B51)</f>
        <v>212</v>
      </c>
      <c r="P51" s="80">
        <f>IFERROR(R51/O51,0)</f>
        <v>243.16638830596082</v>
      </c>
      <c r="Q51" s="80">
        <f>SUMIFS($Z$64:$Z$509,$B$64:$B$509,$B51)+SUMIFS($Y$64:$Y$509,$B$64:$B$509,$B51)</f>
        <v>0</v>
      </c>
      <c r="R51" s="80">
        <f>SUMIFS($AA$64:$AA$509,$B$64:$B$509,$B51)</f>
        <v>51551.274320863697</v>
      </c>
      <c r="S51" s="97">
        <f>SUMIFS($AD$64:$AD$509,$B$64:$B$509,$B51)-SUMIFS($AE$64:$AE$509,$B$64:$B$509,$B51)</f>
        <v>0</v>
      </c>
      <c r="T51" s="80">
        <f>SUMIFS($AF$64:$AF$509,$B$64:$B$509,$B51)</f>
        <v>212</v>
      </c>
      <c r="U51" s="80">
        <f>IFERROR(W51/T51,0)</f>
        <v>263.58139173188766</v>
      </c>
      <c r="V51" s="80">
        <f>SUMIFS($AH$64:$AH$509,$B$64:$B$509,$B51)+SUMIFS($AG$64:$AG$509,$B$64:$B$509,$B51)</f>
        <v>0</v>
      </c>
      <c r="W51" s="98">
        <f>SUMIFS($AI$64:$AI$509,$B$64:$B$509,$B51)</f>
        <v>55879.255047160186</v>
      </c>
      <c r="X51" s="80">
        <f>SUMIFS($AL$64:$AL$509,$B$64:$B$509,$B51)-SUMIFS($AM$64:$AM$509,$B$64:$B$509,$B51)</f>
        <v>0</v>
      </c>
      <c r="Y51" s="80">
        <f>SUMIFS($AN$64:$AN$509,$B$64:$B$509,$B51)</f>
        <v>212</v>
      </c>
      <c r="Z51" s="80">
        <f>IFERROR(AB51/Y51,0)</f>
        <v>285.17598989785773</v>
      </c>
      <c r="AA51" s="80">
        <f>SUMIFS($AP$64:$AP$509,$B$64:$B$509,$B51)+SUMIFS($AO$64:$AO$509,$B$64:$B$509,$B51)</f>
        <v>0</v>
      </c>
      <c r="AB51" s="98">
        <f>SUMIFS($AQ$64:$AQ$509,$B$64:$B$509,$B51)</f>
        <v>60457.309858345841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350</v>
      </c>
      <c r="G52" s="192">
        <f t="shared" ref="G52:G55" si="40">IFERROR(H52/F52,"")</f>
        <v>364.31204728604729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127509.21655011656</v>
      </c>
      <c r="I52" s="97">
        <f>SUMIFS($N$64:$N$509,$B$64:$B$509,$B52)-SUMIFS($O$64:$O$509,$B$64:$B$509,$B52)</f>
        <v>-8</v>
      </c>
      <c r="J52" s="80">
        <f>SUMIFS($P$64:$P$509,$B$64:$B$509,$B52)</f>
        <v>342</v>
      </c>
      <c r="K52" s="80">
        <f t="shared" ref="K52:K56" si="41">IFERROR(M52/J52,0)</f>
        <v>396.61936167199354</v>
      </c>
      <c r="L52" s="80">
        <f>SUMIFS($R$64:$R$509,$B$64:$B$509,$B52)+SUMIFS($Q$64:$Q$509,$B$64:$B$509,$B52)</f>
        <v>-3327.8129247767329</v>
      </c>
      <c r="M52" s="98">
        <f>SUMIFS($S$64:$S$509,$B$64:$B$509,$B52)</f>
        <v>135643.82169182179</v>
      </c>
      <c r="N52" s="80">
        <f>SUMIFS($V$64:$V$509,$B$64:$B$509,$B52)-SUMIFS($W$64:$W$509,$B$64:$B$509,$B52)</f>
        <v>0</v>
      </c>
      <c r="O52" s="80">
        <f>SUMIFS($X$64:$X$509,$B$64:$B$509,$B52)</f>
        <v>342</v>
      </c>
      <c r="P52" s="80">
        <f t="shared" ref="P52:P55" si="42">IFERROR(R52/O52,0)</f>
        <v>430.49364252990085</v>
      </c>
      <c r="Q52" s="80">
        <f>SUMIFS($Z$64:$Z$509,$B$64:$B$509,$B52)+SUMIFS($Y$64:$Y$509,$B$64:$B$509,$B52)</f>
        <v>0</v>
      </c>
      <c r="R52" s="80">
        <f>SUMIFS($AA$64:$AA$509,$B$64:$B$509,$B52)</f>
        <v>147228.82574522609</v>
      </c>
      <c r="S52" s="97">
        <f>SUMIFS($AD$64:$AD$509,$B$64:$B$509,$B52)-SUMIFS($AE$64:$AE$509,$B$64:$B$509,$B52)</f>
        <v>0</v>
      </c>
      <c r="T52" s="80">
        <f>SUMIFS($AF$64:$AF$509,$B$64:$B$509,$B52)</f>
        <v>342</v>
      </c>
      <c r="U52" s="80">
        <f t="shared" ref="U52:U55" si="43">IFERROR(W52/T52,0)</f>
        <v>466.82445509082544</v>
      </c>
      <c r="V52" s="80">
        <f>SUMIFS($AH$64:$AH$509,$B$64:$B$509,$B52)+SUMIFS($AG$64:$AG$509,$B$64:$B$509,$B52)</f>
        <v>0</v>
      </c>
      <c r="W52" s="98">
        <f>SUMIFS($AI$64:$AI$509,$B$64:$B$509,$B52)</f>
        <v>159653.96364106229</v>
      </c>
      <c r="X52" s="80">
        <f>SUMIFS($AL$64:$AL$509,$B$64:$B$509,$B52)-SUMIFS($AM$64:$AM$509,$B$64:$B$509,$B52)</f>
        <v>0</v>
      </c>
      <c r="Y52" s="80">
        <f>SUMIFS($AN$64:$AN$509,$B$64:$B$509,$B52)</f>
        <v>342</v>
      </c>
      <c r="Z52" s="80">
        <f t="shared" ref="Z52:Z55" si="44">IFERROR(AB52/Y52,0)</f>
        <v>505.27447534335477</v>
      </c>
      <c r="AA52" s="80">
        <f>SUMIFS($AP$64:$AP$509,$B$64:$B$509,$B52)+SUMIFS($AO$64:$AO$509,$B$64:$B$509,$B52)</f>
        <v>0</v>
      </c>
      <c r="AB52" s="98">
        <f>SUMIFS($AQ$64:$AQ$509,$B$64:$B$509,$B52)</f>
        <v>172803.87056742734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182</v>
      </c>
      <c r="G53" s="192">
        <f t="shared" si="40"/>
        <v>667.38418918607613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121463.92243186585</v>
      </c>
      <c r="I53" s="97">
        <f>SUMIFS($N$64:$N$509,$B$64:$B$509,$B53)-SUMIFS($O$64:$O$509,$B$64:$B$509,$B53)</f>
        <v>0</v>
      </c>
      <c r="J53" s="80">
        <f>SUMIFS($P$64:$P$509,$B$64:$B$509,$B53)</f>
        <v>182</v>
      </c>
      <c r="K53" s="80">
        <f t="shared" si="41"/>
        <v>728.59076428401897</v>
      </c>
      <c r="L53" s="80">
        <f>SUMIFS($R$64:$R$509,$B$64:$B$509,$B53)+SUMIFS($Q$64:$Q$509,$B$64:$B$509,$B53)</f>
        <v>0</v>
      </c>
      <c r="M53" s="98">
        <f>SUMIFS($S$64:$S$509,$B$64:$B$509,$B53)</f>
        <v>132603.51909969145</v>
      </c>
      <c r="N53" s="80">
        <f>SUMIFS($V$64:$V$509,$B$64:$B$509,$B53)-SUMIFS($W$64:$W$509,$B$64:$B$509,$B53)</f>
        <v>0</v>
      </c>
      <c r="O53" s="80">
        <f>SUMIFS($X$64:$X$509,$B$64:$B$509,$B53)</f>
        <v>182</v>
      </c>
      <c r="P53" s="80">
        <f t="shared" si="42"/>
        <v>790.97529721054661</v>
      </c>
      <c r="Q53" s="80">
        <f>SUMIFS($Z$64:$Z$509,$B$64:$B$509,$B53)+SUMIFS($Y$64:$Y$509,$B$64:$B$509,$B53)</f>
        <v>0</v>
      </c>
      <c r="R53" s="80">
        <f>SUMIFS($AA$64:$AA$509,$B$64:$B$509,$B53)</f>
        <v>143957.50409231949</v>
      </c>
      <c r="S53" s="97">
        <f>SUMIFS($AD$64:$AD$509,$B$64:$B$509,$B53)-SUMIFS($AE$64:$AE$509,$B$64:$B$509,$B53)</f>
        <v>0</v>
      </c>
      <c r="T53" s="80">
        <f>SUMIFS($AF$64:$AF$509,$B$64:$B$509,$B53)</f>
        <v>182</v>
      </c>
      <c r="U53" s="80">
        <f t="shared" si="43"/>
        <v>857.89889927199113</v>
      </c>
      <c r="V53" s="80">
        <f>SUMIFS($AH$64:$AH$509,$B$64:$B$509,$B53)+SUMIFS($AG$64:$AG$509,$B$64:$B$509,$B53)</f>
        <v>0</v>
      </c>
      <c r="W53" s="98">
        <f>SUMIFS($AI$64:$AI$509,$B$64:$B$509,$B53)</f>
        <v>156137.59966750239</v>
      </c>
      <c r="X53" s="80">
        <f>SUMIFS($AL$64:$AL$509,$B$64:$B$509,$B53)-SUMIFS($AM$64:$AM$509,$B$64:$B$509,$B53)</f>
        <v>0</v>
      </c>
      <c r="Y53" s="80">
        <f>SUMIFS($AN$64:$AN$509,$B$64:$B$509,$B53)</f>
        <v>182</v>
      </c>
      <c r="Z53" s="80">
        <f t="shared" si="44"/>
        <v>928.74399602969095</v>
      </c>
      <c r="AA53" s="80">
        <f>SUMIFS($AP$64:$AP$509,$B$64:$B$509,$B53)+SUMIFS($AO$64:$AO$509,$B$64:$B$509,$B53)</f>
        <v>0</v>
      </c>
      <c r="AB53" s="98">
        <f>SUMIFS($AQ$64:$AQ$509,$B$64:$B$509,$B53)</f>
        <v>169031.40727740375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117</v>
      </c>
      <c r="G54" s="192">
        <f t="shared" si="40"/>
        <v>981.99472934472931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114893.38333333333</v>
      </c>
      <c r="I54" s="97">
        <f>SUMIFS($N$64:$N$509,$B$64:$B$509,$B54)-SUMIFS($O$64:$O$509,$B$64:$B$509,$B54)</f>
        <v>4</v>
      </c>
      <c r="J54" s="80">
        <f>SUMIFS($P$64:$P$509,$B$64:$B$509,$B54)</f>
        <v>121</v>
      </c>
      <c r="K54" s="80">
        <f t="shared" si="41"/>
        <v>1035.2104254763688</v>
      </c>
      <c r="L54" s="80">
        <f>SUMIFS($R$64:$R$509,$B$64:$B$509,$B54)+SUMIFS($Q$64:$Q$509,$B$64:$B$509,$B54)</f>
        <v>4840.7567282940518</v>
      </c>
      <c r="M54" s="98">
        <f>SUMIFS($S$64:$S$509,$B$64:$B$509,$B54)</f>
        <v>125260.46148264063</v>
      </c>
      <c r="N54" s="80">
        <f>SUMIFS($V$64:$V$509,$B$64:$B$509,$B54)-SUMIFS($W$64:$W$509,$B$64:$B$509,$B54)</f>
        <v>0</v>
      </c>
      <c r="O54" s="80">
        <f>SUMIFS($X$64:$X$509,$B$64:$B$509,$B54)</f>
        <v>121</v>
      </c>
      <c r="P54" s="80">
        <f t="shared" si="42"/>
        <v>1113.368490787195</v>
      </c>
      <c r="Q54" s="80">
        <f>SUMIFS($Z$64:$Z$509,$B$64:$B$509,$B54)+SUMIFS($Y$64:$Y$509,$B$64:$B$509,$B54)</f>
        <v>0</v>
      </c>
      <c r="R54" s="80">
        <f>SUMIFS($AA$64:$AA$509,$B$64:$B$509,$B54)</f>
        <v>134717.5873852506</v>
      </c>
      <c r="S54" s="97">
        <f>SUMIFS($AD$64:$AD$509,$B$64:$B$509,$B54)-SUMIFS($AE$64:$AE$509,$B$64:$B$509,$B54)</f>
        <v>0</v>
      </c>
      <c r="T54" s="80">
        <f>SUMIFS($AF$64:$AF$509,$B$64:$B$509,$B54)</f>
        <v>121</v>
      </c>
      <c r="U54" s="80">
        <f t="shared" si="43"/>
        <v>1196.2978485907511</v>
      </c>
      <c r="V54" s="80">
        <f>SUMIFS($AH$64:$AH$509,$B$64:$B$509,$B54)+SUMIFS($AG$64:$AG$509,$B$64:$B$509,$B54)</f>
        <v>0</v>
      </c>
      <c r="W54" s="98">
        <f>SUMIFS($AI$64:$AI$509,$B$64:$B$509,$B54)</f>
        <v>144752.03967948089</v>
      </c>
      <c r="X54" s="80">
        <f>SUMIFS($AL$64:$AL$509,$B$64:$B$509,$B54)-SUMIFS($AM$64:$AM$509,$B$64:$B$509,$B54)</f>
        <v>0</v>
      </c>
      <c r="Y54" s="80">
        <f>SUMIFS($AN$64:$AN$509,$B$64:$B$509,$B54)</f>
        <v>121</v>
      </c>
      <c r="Z54" s="80">
        <f t="shared" si="44"/>
        <v>1282.97666004185</v>
      </c>
      <c r="AA54" s="80">
        <f>SUMIFS($AP$64:$AP$509,$B$64:$B$509,$B54)+SUMIFS($AO$64:$AO$509,$B$64:$B$509,$B54)</f>
        <v>0</v>
      </c>
      <c r="AB54" s="98">
        <f>SUMIFS($AQ$64:$AQ$509,$B$64:$B$509,$B54)</f>
        <v>155240.17586506385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2</v>
      </c>
      <c r="G55" s="192">
        <f t="shared" si="40"/>
        <v>2310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4620</v>
      </c>
      <c r="I55" s="101">
        <f>SUMIFS($N$64:$N$509,$B$64:$B$509,$B55)-SUMIFS($O$64:$O$509,$B$64:$B$509,$B55)</f>
        <v>0</v>
      </c>
      <c r="J55" s="102">
        <f>SUMIFS($P$64:$P$509,$B$64:$B$509,$B55)</f>
        <v>2</v>
      </c>
      <c r="K55" s="102">
        <f t="shared" si="41"/>
        <v>2386.23</v>
      </c>
      <c r="L55" s="102">
        <f>SUMIFS($R$64:$R$509,$B$64:$B$509,$B55)+SUMIFS($Q$64:$Q$509,$B$64:$B$509,$B55)</f>
        <v>0</v>
      </c>
      <c r="M55" s="103">
        <f>SUMIFS($S$64:$S$509,$B$64:$B$509,$B55)</f>
        <v>4772.46</v>
      </c>
      <c r="N55" s="80">
        <f>SUMIFS($V$64:$V$509,$B$64:$B$509,$B55)-SUMIFS($W$64:$W$509,$B$64:$B$509,$B55)</f>
        <v>0</v>
      </c>
      <c r="O55" s="80">
        <f>SUMIFS($X$64:$X$509,$B$64:$B$509,$B55)</f>
        <v>2</v>
      </c>
      <c r="P55" s="80">
        <f t="shared" si="42"/>
        <v>2529.4038</v>
      </c>
      <c r="Q55" s="80">
        <f>SUMIFS($Z$64:$Z$509,$B$64:$B$509,$B55)+SUMIFS($Y$64:$Y$509,$B$64:$B$509,$B55)</f>
        <v>0</v>
      </c>
      <c r="R55" s="80">
        <f>SUMIFS($AA$64:$AA$509,$B$64:$B$509,$B55)</f>
        <v>5058.8076000000001</v>
      </c>
      <c r="S55" s="101">
        <f>SUMIFS($AD$64:$AD$509,$B$64:$B$509,$B55)-SUMIFS($AE$64:$AE$509,$B$64:$B$509,$B55)</f>
        <v>0</v>
      </c>
      <c r="T55" s="102">
        <f>SUMIFS($AF$64:$AF$509,$B$64:$B$509,$B55)</f>
        <v>2</v>
      </c>
      <c r="U55" s="102">
        <f t="shared" si="43"/>
        <v>2678.6386241999999</v>
      </c>
      <c r="V55" s="102">
        <f>SUMIFS($AH$64:$AH$509,$B$64:$B$509,$B55)+SUMIFS($AG$64:$AG$509,$B$64:$B$509,$B55)</f>
        <v>0</v>
      </c>
      <c r="W55" s="103">
        <f>SUMIFS($AI$64:$AI$509,$B$64:$B$509,$B55)</f>
        <v>5357.2772483999997</v>
      </c>
      <c r="X55" s="80">
        <f>SUMIFS($AL$64:$AL$509,$B$64:$B$509,$B55)-SUMIFS($AM$64:$AM$509,$B$64:$B$509,$B55)</f>
        <v>0</v>
      </c>
      <c r="Y55" s="80">
        <f>SUMIFS($AN$64:$AN$509,$B$64:$B$509,$B55)</f>
        <v>2</v>
      </c>
      <c r="Z55" s="80">
        <f t="shared" si="44"/>
        <v>2831.3210257793999</v>
      </c>
      <c r="AA55" s="80">
        <f>SUMIFS($AP$64:$AP$509,$B$64:$B$509,$B55)+SUMIFS($AO$64:$AO$509,$B$64:$B$509,$B55)</f>
        <v>0</v>
      </c>
      <c r="AB55" s="98">
        <f>SUMIFS($AQ$64:$AQ$509,$B$64:$B$509,$B55)</f>
        <v>5662.6420515587997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870</v>
      </c>
      <c r="G56" s="92">
        <f t="shared" ref="G56" si="45">IFERROR(H56/F56,0)</f>
        <v>475.4620444419794</v>
      </c>
      <c r="H56" s="92">
        <f>SUM(H51:H55)</f>
        <v>413651.97866452206</v>
      </c>
      <c r="I56" s="92">
        <f>SUM(I51:I55)</f>
        <v>-11</v>
      </c>
      <c r="J56" s="92">
        <f>SUM(J51:J55)</f>
        <v>859</v>
      </c>
      <c r="K56" s="92">
        <f t="shared" si="41"/>
        <v>518.96896551908844</v>
      </c>
      <c r="L56" s="92">
        <f>SUM(L51:L55)</f>
        <v>-128.51237969513932</v>
      </c>
      <c r="M56" s="92">
        <f>SUM(M51:M55)</f>
        <v>445794.34138089698</v>
      </c>
      <c r="N56" s="92">
        <f t="shared" ref="N56:O56" si="46">SUM(N51:N55)</f>
        <v>0</v>
      </c>
      <c r="O56" s="92">
        <f t="shared" si="46"/>
        <v>859</v>
      </c>
      <c r="P56" s="92">
        <f>IFERROR(R56/O56,0)</f>
        <v>561.71594778074495</v>
      </c>
      <c r="Q56" s="92">
        <f t="shared" ref="Q56" si="47">SUM(Q51:Q55)</f>
        <v>0</v>
      </c>
      <c r="R56" s="92">
        <f t="shared" ref="R56:T56" si="48">SUM(R51:R55)</f>
        <v>482513.99914365989</v>
      </c>
      <c r="S56" s="92">
        <f t="shared" si="48"/>
        <v>0</v>
      </c>
      <c r="T56" s="92">
        <f t="shared" si="48"/>
        <v>859</v>
      </c>
      <c r="U56" s="92">
        <f>IFERROR(W56/T56,0)</f>
        <v>607.42739846752704</v>
      </c>
      <c r="V56" s="92">
        <f t="shared" ref="V56" si="49">SUM(V51:V55)</f>
        <v>0</v>
      </c>
      <c r="W56" s="92">
        <f t="shared" ref="W56:Y56" si="50">SUM(W51:W55)</f>
        <v>521780.13528360572</v>
      </c>
      <c r="X56" s="92">
        <f t="shared" si="50"/>
        <v>0</v>
      </c>
      <c r="Y56" s="92">
        <f t="shared" si="50"/>
        <v>859</v>
      </c>
      <c r="Z56" s="92">
        <f>IFERROR(AB56/Y56,0)</f>
        <v>655.64075159464437</v>
      </c>
      <c r="AA56" s="92">
        <f t="shared" ref="AA56" si="51">SUM(AA51:AA55)</f>
        <v>0</v>
      </c>
      <c r="AB56" s="104">
        <f t="shared" ref="AB56" si="52">SUM(AB51:AB55)</f>
        <v>563195.40561979951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21</v>
      </c>
      <c r="G64" s="35">
        <f>SUMIFS(WORKING!$AC$3:$AC$6802,WORKING!$A$3:$A$6802,Results!$D$3,WORKING!$B$3:$B$6802,Results!A64,WORKING!$C$3:$C$6802,Results!C64)/1000</f>
        <v>1264.97226</v>
      </c>
      <c r="H64" s="35">
        <f>IFERROR(G64/F64,0)</f>
        <v>60.236774285714283</v>
      </c>
      <c r="I64" s="156">
        <v>3</v>
      </c>
      <c r="J64" s="211">
        <v>180</v>
      </c>
      <c r="K64" s="217">
        <f>IFERROR(IF(J64="",G64,J64)/IF(I64="",F64,I64),"")</f>
        <v>60</v>
      </c>
      <c r="L64" s="34">
        <f t="shared" ref="L64:L80" si="54">IF(I64="",F64,I64)</f>
        <v>3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65.528399999999991</v>
      </c>
      <c r="N64" s="57">
        <v>0</v>
      </c>
      <c r="O64" s="57">
        <v>0</v>
      </c>
      <c r="P64" s="61">
        <f t="shared" ref="P64:P80" si="55">-O64+L64+N64</f>
        <v>3</v>
      </c>
      <c r="Q64" s="40">
        <f>M64*N64</f>
        <v>0</v>
      </c>
      <c r="R64" s="40">
        <f>-M64*O64</f>
        <v>0</v>
      </c>
      <c r="S64" s="44">
        <f>M64*P64</f>
        <v>196.58519999999999</v>
      </c>
      <c r="T64" s="35">
        <f>P64</f>
        <v>3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71.167118819999985</v>
      </c>
      <c r="V64" s="57">
        <v>0</v>
      </c>
      <c r="W64" s="57">
        <v>0</v>
      </c>
      <c r="X64" s="61">
        <f t="shared" ref="X64:X80" si="56">-W64+T64+V64</f>
        <v>3</v>
      </c>
      <c r="Y64" s="40">
        <f>U64*V64</f>
        <v>0</v>
      </c>
      <c r="Z64" s="40">
        <f>-U64*W64</f>
        <v>0</v>
      </c>
      <c r="AA64" s="44">
        <f>U64*X64</f>
        <v>213.50135645999995</v>
      </c>
      <c r="AB64" s="35">
        <f>X64</f>
        <v>3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77.218814768858664</v>
      </c>
      <c r="AD64" s="57">
        <v>0</v>
      </c>
      <c r="AE64" s="57">
        <v>0</v>
      </c>
      <c r="AF64" s="61">
        <f t="shared" ref="AF64:AF80" si="57">-AE64+AB64+AD64</f>
        <v>3</v>
      </c>
      <c r="AG64" s="40">
        <f>AC64*AD64</f>
        <v>0</v>
      </c>
      <c r="AH64" s="40">
        <f>-AC64*AE64</f>
        <v>0</v>
      </c>
      <c r="AI64" s="44">
        <f>AC64*AF64</f>
        <v>231.65644430657599</v>
      </c>
      <c r="AJ64" s="35">
        <f t="shared" ref="AJ64:AJ80" si="58">AF64</f>
        <v>3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83.628362488747769</v>
      </c>
      <c r="AL64" s="57">
        <v>0</v>
      </c>
      <c r="AM64" s="57">
        <v>0</v>
      </c>
      <c r="AN64" s="61">
        <f t="shared" ref="AN64:AN80" si="59">-AM64+AJ64+AL64</f>
        <v>3</v>
      </c>
      <c r="AO64" s="40">
        <f>AK64*AL64</f>
        <v>0</v>
      </c>
      <c r="AP64" s="40">
        <f>-AK64*AM64</f>
        <v>0</v>
      </c>
      <c r="AQ64" s="44">
        <f>AK64*AN64</f>
        <v>250.88508746624331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>
        <v>0</v>
      </c>
      <c r="J65" s="212">
        <v>0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10</v>
      </c>
      <c r="G66" s="35">
        <f>SUMIFS(WORKING!$AC$3:$AC$6802,WORKING!$A$3:$A$6802,Results!$D$3,WORKING!$B$3:$B$6802,Results!A66,WORKING!$C$3:$C$6802,Results!C66)/1000</f>
        <v>1503.0469000000001</v>
      </c>
      <c r="H66" s="35">
        <f t="shared" si="60"/>
        <v>150.30468999999999</v>
      </c>
      <c r="I66" s="187">
        <v>9</v>
      </c>
      <c r="J66" s="212">
        <v>1350</v>
      </c>
      <c r="K66" s="217">
        <f t="shared" si="61"/>
        <v>150</v>
      </c>
      <c r="L66" s="34">
        <f t="shared" si="54"/>
        <v>9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162.65005440440993</v>
      </c>
      <c r="N66" s="57">
        <v>0</v>
      </c>
      <c r="O66" s="57">
        <v>0</v>
      </c>
      <c r="P66" s="61">
        <f t="shared" si="55"/>
        <v>9</v>
      </c>
      <c r="Q66" s="40">
        <f t="shared" si="62"/>
        <v>0</v>
      </c>
      <c r="R66" s="40">
        <f t="shared" si="63"/>
        <v>0</v>
      </c>
      <c r="S66" s="44">
        <f t="shared" si="64"/>
        <v>1463.8504896396894</v>
      </c>
      <c r="T66" s="35">
        <f t="shared" si="65"/>
        <v>9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176.28242410657035</v>
      </c>
      <c r="V66" s="57">
        <v>0</v>
      </c>
      <c r="W66" s="57">
        <v>0</v>
      </c>
      <c r="X66" s="61">
        <f t="shared" si="56"/>
        <v>9</v>
      </c>
      <c r="Y66" s="40">
        <f t="shared" si="66"/>
        <v>0</v>
      </c>
      <c r="Z66" s="40">
        <f t="shared" si="67"/>
        <v>0</v>
      </c>
      <c r="AA66" s="44">
        <f t="shared" si="68"/>
        <v>1586.541816959133</v>
      </c>
      <c r="AB66" s="35">
        <f t="shared" si="69"/>
        <v>9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190.87896464893274</v>
      </c>
      <c r="AD66" s="57">
        <v>0</v>
      </c>
      <c r="AE66" s="57">
        <v>0</v>
      </c>
      <c r="AF66" s="61">
        <f t="shared" si="57"/>
        <v>9</v>
      </c>
      <c r="AG66" s="40">
        <f t="shared" si="70"/>
        <v>0</v>
      </c>
      <c r="AH66" s="40">
        <f t="shared" si="71"/>
        <v>0</v>
      </c>
      <c r="AI66" s="44">
        <f t="shared" si="72"/>
        <v>1717.9106818403945</v>
      </c>
      <c r="AJ66" s="35">
        <f t="shared" si="58"/>
        <v>9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206.29775390266414</v>
      </c>
      <c r="AL66" s="57">
        <v>0</v>
      </c>
      <c r="AM66" s="57">
        <v>0</v>
      </c>
      <c r="AN66" s="61">
        <f t="shared" si="59"/>
        <v>9</v>
      </c>
      <c r="AO66" s="40">
        <f t="shared" si="73"/>
        <v>0</v>
      </c>
      <c r="AP66" s="40">
        <f t="shared" si="74"/>
        <v>0</v>
      </c>
      <c r="AQ66" s="44">
        <f t="shared" si="75"/>
        <v>1856.6797851239774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12</v>
      </c>
      <c r="G67" s="35">
        <f>SUMIFS(WORKING!$AC$3:$AC$6802,WORKING!$A$3:$A$6802,Results!$D$3,WORKING!$B$3:$B$6802,Results!A67,WORKING!$C$3:$C$6802,Results!C67)/1000</f>
        <v>1598.5305800000003</v>
      </c>
      <c r="H67" s="35">
        <f t="shared" si="60"/>
        <v>133.21088166666669</v>
      </c>
      <c r="I67" s="187">
        <v>12</v>
      </c>
      <c r="J67" s="212">
        <v>1596</v>
      </c>
      <c r="K67" s="217">
        <f t="shared" si="61"/>
        <v>133</v>
      </c>
      <c r="L67" s="34">
        <f t="shared" si="54"/>
        <v>12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144.638070908</v>
      </c>
      <c r="N67" s="57">
        <v>0</v>
      </c>
      <c r="O67" s="57">
        <v>0</v>
      </c>
      <c r="P67" s="61">
        <f t="shared" si="55"/>
        <v>12</v>
      </c>
      <c r="Q67" s="40">
        <f t="shared" si="62"/>
        <v>0</v>
      </c>
      <c r="R67" s="40">
        <f t="shared" si="63"/>
        <v>0</v>
      </c>
      <c r="S67" s="44">
        <f t="shared" si="64"/>
        <v>1735.6568508959999</v>
      </c>
      <c r="T67" s="35">
        <f t="shared" si="65"/>
        <v>12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156.89400754731432</v>
      </c>
      <c r="V67" s="57">
        <v>0</v>
      </c>
      <c r="W67" s="57">
        <v>0</v>
      </c>
      <c r="X67" s="61">
        <f t="shared" si="56"/>
        <v>12</v>
      </c>
      <c r="Y67" s="40">
        <f t="shared" si="66"/>
        <v>0</v>
      </c>
      <c r="Z67" s="40">
        <f t="shared" si="67"/>
        <v>0</v>
      </c>
      <c r="AA67" s="44">
        <f t="shared" si="68"/>
        <v>1882.7280905677717</v>
      </c>
      <c r="AB67" s="35">
        <f t="shared" si="69"/>
        <v>12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170.02937849981421</v>
      </c>
      <c r="AD67" s="57">
        <v>0</v>
      </c>
      <c r="AE67" s="57">
        <v>0</v>
      </c>
      <c r="AF67" s="61">
        <f t="shared" si="57"/>
        <v>12</v>
      </c>
      <c r="AG67" s="40">
        <f t="shared" si="70"/>
        <v>0</v>
      </c>
      <c r="AH67" s="40">
        <f t="shared" si="71"/>
        <v>0</v>
      </c>
      <c r="AI67" s="44">
        <f t="shared" si="72"/>
        <v>2040.3525419977705</v>
      </c>
      <c r="AJ67" s="35">
        <f t="shared" si="58"/>
        <v>12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183.91967391984051</v>
      </c>
      <c r="AL67" s="57">
        <v>0</v>
      </c>
      <c r="AM67" s="57">
        <v>0</v>
      </c>
      <c r="AN67" s="61">
        <f t="shared" si="59"/>
        <v>12</v>
      </c>
      <c r="AO67" s="40">
        <f t="shared" si="73"/>
        <v>0</v>
      </c>
      <c r="AP67" s="40">
        <f t="shared" si="74"/>
        <v>0</v>
      </c>
      <c r="AQ67" s="44">
        <f t="shared" si="75"/>
        <v>2207.036087038086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36</v>
      </c>
      <c r="G68" s="35">
        <f>SUMIFS(WORKING!$AC$3:$AC$6802,WORKING!$A$3:$A$6802,Results!$D$3,WORKING!$B$3:$B$6802,Results!A68,WORKING!$C$3:$C$6802,Results!C68)/1000</f>
        <v>6449.0840899999976</v>
      </c>
      <c r="H68" s="35">
        <f t="shared" si="60"/>
        <v>179.14122472222215</v>
      </c>
      <c r="I68" s="187">
        <v>36</v>
      </c>
      <c r="J68" s="212">
        <v>6444</v>
      </c>
      <c r="K68" s="217">
        <f t="shared" si="61"/>
        <v>179</v>
      </c>
      <c r="L68" s="34">
        <f t="shared" si="54"/>
        <v>36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194.63052926440363</v>
      </c>
      <c r="N68" s="57">
        <v>0</v>
      </c>
      <c r="O68" s="57">
        <v>1</v>
      </c>
      <c r="P68" s="61">
        <f t="shared" si="55"/>
        <v>35</v>
      </c>
      <c r="Q68" s="40">
        <f t="shared" si="62"/>
        <v>0</v>
      </c>
      <c r="R68" s="40">
        <f t="shared" si="63"/>
        <v>-194.63052926440363</v>
      </c>
      <c r="S68" s="44">
        <f t="shared" si="64"/>
        <v>6812.0685242541276</v>
      </c>
      <c r="T68" s="35">
        <f t="shared" si="65"/>
        <v>35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211.11222170747263</v>
      </c>
      <c r="V68" s="57">
        <v>0</v>
      </c>
      <c r="W68" s="57">
        <v>0</v>
      </c>
      <c r="X68" s="61">
        <f t="shared" si="56"/>
        <v>35</v>
      </c>
      <c r="Y68" s="40">
        <f t="shared" si="66"/>
        <v>0</v>
      </c>
      <c r="Z68" s="40">
        <f t="shared" si="67"/>
        <v>0</v>
      </c>
      <c r="AA68" s="44">
        <f t="shared" si="68"/>
        <v>7388.9277597615419</v>
      </c>
      <c r="AB68" s="35">
        <f t="shared" si="69"/>
        <v>35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228.77559932375522</v>
      </c>
      <c r="AD68" s="57">
        <v>0</v>
      </c>
      <c r="AE68" s="57">
        <v>0</v>
      </c>
      <c r="AF68" s="61">
        <f t="shared" si="57"/>
        <v>35</v>
      </c>
      <c r="AG68" s="40">
        <f t="shared" si="70"/>
        <v>0</v>
      </c>
      <c r="AH68" s="40">
        <f t="shared" si="71"/>
        <v>0</v>
      </c>
      <c r="AI68" s="44">
        <f t="shared" si="72"/>
        <v>8007.1459763314324</v>
      </c>
      <c r="AJ68" s="35">
        <f t="shared" si="58"/>
        <v>35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247.45299370055301</v>
      </c>
      <c r="AL68" s="57">
        <v>0</v>
      </c>
      <c r="AM68" s="57">
        <v>0</v>
      </c>
      <c r="AN68" s="61">
        <f t="shared" si="59"/>
        <v>35</v>
      </c>
      <c r="AO68" s="40">
        <f t="shared" si="73"/>
        <v>0</v>
      </c>
      <c r="AP68" s="40">
        <f t="shared" si="74"/>
        <v>0</v>
      </c>
      <c r="AQ68" s="44">
        <f t="shared" si="75"/>
        <v>8660.8547795193554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52</v>
      </c>
      <c r="G69" s="35">
        <f>SUMIFS(WORKING!$AC$3:$AC$6802,WORKING!$A$3:$A$6802,Results!$D$3,WORKING!$B$3:$B$6802,Results!A69,WORKING!$C$3:$C$6802,Results!C69)/1000</f>
        <v>13137.603369999999</v>
      </c>
      <c r="H69" s="35">
        <f t="shared" si="60"/>
        <v>252.64621865384612</v>
      </c>
      <c r="I69" s="187">
        <v>51</v>
      </c>
      <c r="J69" s="212">
        <v>12903</v>
      </c>
      <c r="K69" s="217">
        <f t="shared" si="61"/>
        <v>253</v>
      </c>
      <c r="L69" s="34">
        <f t="shared" si="54"/>
        <v>51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275.31036618635386</v>
      </c>
      <c r="N69" s="57">
        <v>0</v>
      </c>
      <c r="O69" s="57">
        <v>0</v>
      </c>
      <c r="P69" s="61">
        <f t="shared" si="55"/>
        <v>51</v>
      </c>
      <c r="Q69" s="40">
        <f t="shared" si="62"/>
        <v>0</v>
      </c>
      <c r="R69" s="40">
        <f t="shared" si="63"/>
        <v>0</v>
      </c>
      <c r="S69" s="44">
        <f t="shared" si="64"/>
        <v>14040.828675504046</v>
      </c>
      <c r="T69" s="35">
        <f t="shared" si="65"/>
        <v>51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298.68899484387231</v>
      </c>
      <c r="V69" s="57">
        <v>0</v>
      </c>
      <c r="W69" s="57">
        <v>0</v>
      </c>
      <c r="X69" s="61">
        <f t="shared" si="56"/>
        <v>51</v>
      </c>
      <c r="Y69" s="40">
        <f t="shared" si="66"/>
        <v>0</v>
      </c>
      <c r="Z69" s="40">
        <f t="shared" si="67"/>
        <v>0</v>
      </c>
      <c r="AA69" s="44">
        <f t="shared" si="68"/>
        <v>15233.138737037487</v>
      </c>
      <c r="AB69" s="35">
        <f t="shared" si="69"/>
        <v>51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323.75014822584274</v>
      </c>
      <c r="AD69" s="57">
        <v>0</v>
      </c>
      <c r="AE69" s="57">
        <v>0</v>
      </c>
      <c r="AF69" s="61">
        <f t="shared" si="57"/>
        <v>51</v>
      </c>
      <c r="AG69" s="40">
        <f t="shared" si="70"/>
        <v>0</v>
      </c>
      <c r="AH69" s="40">
        <f t="shared" si="71"/>
        <v>0</v>
      </c>
      <c r="AI69" s="44">
        <f t="shared" si="72"/>
        <v>16511.257559517981</v>
      </c>
      <c r="AJ69" s="35">
        <f t="shared" si="58"/>
        <v>51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350.25777547311782</v>
      </c>
      <c r="AL69" s="57">
        <v>0</v>
      </c>
      <c r="AM69" s="57">
        <v>0</v>
      </c>
      <c r="AN69" s="61">
        <f t="shared" si="59"/>
        <v>51</v>
      </c>
      <c r="AO69" s="40">
        <f t="shared" si="73"/>
        <v>0</v>
      </c>
      <c r="AP69" s="40">
        <f t="shared" si="74"/>
        <v>0</v>
      </c>
      <c r="AQ69" s="44">
        <f t="shared" si="75"/>
        <v>17863.146549129007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38</v>
      </c>
      <c r="G70" s="35">
        <f>SUMIFS(WORKING!$AC$3:$AC$6802,WORKING!$A$3:$A$6802,Results!$D$3,WORKING!$B$3:$B$6802,Results!A70,WORKING!$C$3:$C$6802,Results!C70)/1000</f>
        <v>10592.125109999999</v>
      </c>
      <c r="H70" s="35">
        <f t="shared" si="60"/>
        <v>278.74013447368418</v>
      </c>
      <c r="I70" s="187">
        <v>39</v>
      </c>
      <c r="J70" s="212">
        <v>10881</v>
      </c>
      <c r="K70" s="217">
        <f t="shared" si="61"/>
        <v>279</v>
      </c>
      <c r="L70" s="34">
        <f t="shared" si="54"/>
        <v>39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303.90856019616155</v>
      </c>
      <c r="N70" s="57">
        <v>0</v>
      </c>
      <c r="O70" s="57">
        <v>0</v>
      </c>
      <c r="P70" s="61">
        <f t="shared" si="55"/>
        <v>39</v>
      </c>
      <c r="Q70" s="40">
        <f t="shared" si="62"/>
        <v>0</v>
      </c>
      <c r="R70" s="40">
        <f t="shared" si="63"/>
        <v>0</v>
      </c>
      <c r="S70" s="44">
        <f t="shared" si="64"/>
        <v>11852.4338476503</v>
      </c>
      <c r="T70" s="35">
        <f t="shared" si="65"/>
        <v>39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329.81176500169357</v>
      </c>
      <c r="V70" s="57">
        <v>0</v>
      </c>
      <c r="W70" s="57">
        <v>0</v>
      </c>
      <c r="X70" s="61">
        <f t="shared" si="56"/>
        <v>39</v>
      </c>
      <c r="Y70" s="40">
        <f t="shared" si="66"/>
        <v>0</v>
      </c>
      <c r="Z70" s="40">
        <f t="shared" si="67"/>
        <v>0</v>
      </c>
      <c r="AA70" s="44">
        <f t="shared" si="68"/>
        <v>12862.65883506605</v>
      </c>
      <c r="AB70" s="35">
        <f t="shared" si="69"/>
        <v>39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357.58834108748277</v>
      </c>
      <c r="AD70" s="57">
        <v>0</v>
      </c>
      <c r="AE70" s="57">
        <v>0</v>
      </c>
      <c r="AF70" s="61">
        <f t="shared" si="57"/>
        <v>39</v>
      </c>
      <c r="AG70" s="40">
        <f t="shared" si="70"/>
        <v>0</v>
      </c>
      <c r="AH70" s="40">
        <f t="shared" si="71"/>
        <v>0</v>
      </c>
      <c r="AI70" s="44">
        <f t="shared" si="72"/>
        <v>13945.945302411828</v>
      </c>
      <c r="AJ70" s="35">
        <f t="shared" si="58"/>
        <v>39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386.97900995733607</v>
      </c>
      <c r="AL70" s="57">
        <v>0</v>
      </c>
      <c r="AM70" s="57">
        <v>0</v>
      </c>
      <c r="AN70" s="61">
        <f t="shared" si="59"/>
        <v>39</v>
      </c>
      <c r="AO70" s="40">
        <f t="shared" si="73"/>
        <v>0</v>
      </c>
      <c r="AP70" s="40">
        <f t="shared" si="74"/>
        <v>0</v>
      </c>
      <c r="AQ70" s="44">
        <f t="shared" si="75"/>
        <v>15092.181388336106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43</v>
      </c>
      <c r="G71" s="35">
        <f>SUMIFS(WORKING!$AC$3:$AC$6802,WORKING!$A$3:$A$6802,Results!$D$3,WORKING!$B$3:$B$6802,Results!A71,WORKING!$C$3:$C$6802,Results!C71)/1000</f>
        <v>14489.384680000001</v>
      </c>
      <c r="H71" s="35">
        <f>IFERROR(G71/F71,0)</f>
        <v>336.96243441860469</v>
      </c>
      <c r="I71" s="187">
        <v>41</v>
      </c>
      <c r="J71" s="212">
        <v>13817</v>
      </c>
      <c r="K71" s="217">
        <f t="shared" si="61"/>
        <v>337</v>
      </c>
      <c r="L71" s="34">
        <f t="shared" si="54"/>
        <v>41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367.28056772299237</v>
      </c>
      <c r="N71" s="57">
        <v>0</v>
      </c>
      <c r="O71" s="57">
        <v>3</v>
      </c>
      <c r="P71" s="61">
        <f t="shared" si="55"/>
        <v>38</v>
      </c>
      <c r="Q71" s="40">
        <f t="shared" si="62"/>
        <v>0</v>
      </c>
      <c r="R71" s="40">
        <f t="shared" si="63"/>
        <v>-1101.8417031689771</v>
      </c>
      <c r="S71" s="44">
        <f t="shared" si="64"/>
        <v>13956.66157347371</v>
      </c>
      <c r="T71" s="35">
        <f t="shared" si="65"/>
        <v>38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398.64476377888599</v>
      </c>
      <c r="V71" s="57">
        <v>0</v>
      </c>
      <c r="W71" s="57">
        <v>0</v>
      </c>
      <c r="X71" s="61">
        <f t="shared" si="56"/>
        <v>38</v>
      </c>
      <c r="Y71" s="40">
        <f t="shared" si="66"/>
        <v>0</v>
      </c>
      <c r="Z71" s="40">
        <f t="shared" si="67"/>
        <v>0</v>
      </c>
      <c r="AA71" s="44">
        <f t="shared" si="68"/>
        <v>15148.501023597668</v>
      </c>
      <c r="AB71" s="35">
        <f t="shared" si="69"/>
        <v>38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432.28303814108625</v>
      </c>
      <c r="AD71" s="57">
        <v>0</v>
      </c>
      <c r="AE71" s="57">
        <v>0</v>
      </c>
      <c r="AF71" s="61">
        <f t="shared" si="57"/>
        <v>38</v>
      </c>
      <c r="AG71" s="40">
        <f t="shared" si="70"/>
        <v>0</v>
      </c>
      <c r="AH71" s="40">
        <f t="shared" si="71"/>
        <v>0</v>
      </c>
      <c r="AI71" s="44">
        <f t="shared" si="72"/>
        <v>16426.755449361277</v>
      </c>
      <c r="AJ71" s="35">
        <f t="shared" si="58"/>
        <v>38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467.88295297247606</v>
      </c>
      <c r="AL71" s="57">
        <v>0</v>
      </c>
      <c r="AM71" s="57">
        <v>0</v>
      </c>
      <c r="AN71" s="61">
        <f t="shared" si="59"/>
        <v>38</v>
      </c>
      <c r="AO71" s="40">
        <f t="shared" si="73"/>
        <v>0</v>
      </c>
      <c r="AP71" s="40">
        <f t="shared" si="74"/>
        <v>0</v>
      </c>
      <c r="AQ71" s="44">
        <f t="shared" si="75"/>
        <v>17779.552212954091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50</v>
      </c>
      <c r="G72" s="35">
        <f>SUMIFS(WORKING!$AC$3:$AC$6802,WORKING!$A$3:$A$6802,Results!$D$3,WORKING!$B$3:$B$6802,Results!A72,WORKING!$C$3:$C$6802,Results!C72)/1000</f>
        <v>19826.077159999993</v>
      </c>
      <c r="H72" s="35">
        <f t="shared" si="60"/>
        <v>396.52154319999988</v>
      </c>
      <c r="I72" s="187">
        <v>52</v>
      </c>
      <c r="J72" s="212">
        <v>20644</v>
      </c>
      <c r="K72" s="217">
        <f>IFERROR(IF(J72="",G72,J72)/IF(I72="",F72,I72),"")</f>
        <v>397</v>
      </c>
      <c r="L72" s="34">
        <f t="shared" si="54"/>
        <v>52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432.67782844295868</v>
      </c>
      <c r="N72" s="57">
        <v>0</v>
      </c>
      <c r="O72" s="57">
        <v>2</v>
      </c>
      <c r="P72" s="61">
        <f t="shared" si="55"/>
        <v>50</v>
      </c>
      <c r="Q72" s="40">
        <f t="shared" si="62"/>
        <v>0</v>
      </c>
      <c r="R72" s="40">
        <f t="shared" si="63"/>
        <v>-865.35565688591737</v>
      </c>
      <c r="S72" s="44">
        <f t="shared" si="64"/>
        <v>21633.891422147935</v>
      </c>
      <c r="T72" s="35">
        <f t="shared" si="65"/>
        <v>50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469.62895194285193</v>
      </c>
      <c r="V72" s="57">
        <v>0</v>
      </c>
      <c r="W72" s="57">
        <v>0</v>
      </c>
      <c r="X72" s="61">
        <f t="shared" si="56"/>
        <v>50</v>
      </c>
      <c r="Y72" s="40">
        <f t="shared" si="66"/>
        <v>0</v>
      </c>
      <c r="Z72" s="40">
        <f t="shared" si="67"/>
        <v>0</v>
      </c>
      <c r="AA72" s="44">
        <f t="shared" si="68"/>
        <v>23481.447597142596</v>
      </c>
      <c r="AB72" s="35">
        <f t="shared" si="69"/>
        <v>50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509.25944493280588</v>
      </c>
      <c r="AD72" s="57">
        <v>0</v>
      </c>
      <c r="AE72" s="57">
        <v>0</v>
      </c>
      <c r="AF72" s="61">
        <f t="shared" si="57"/>
        <v>50</v>
      </c>
      <c r="AG72" s="40">
        <f t="shared" si="70"/>
        <v>0</v>
      </c>
      <c r="AH72" s="40">
        <f t="shared" si="71"/>
        <v>0</v>
      </c>
      <c r="AI72" s="44">
        <f t="shared" si="72"/>
        <v>25462.972246640293</v>
      </c>
      <c r="AJ72" s="35">
        <f t="shared" si="58"/>
        <v>50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551.20125575215991</v>
      </c>
      <c r="AL72" s="57">
        <v>0</v>
      </c>
      <c r="AM72" s="57">
        <v>0</v>
      </c>
      <c r="AN72" s="61">
        <f t="shared" si="59"/>
        <v>50</v>
      </c>
      <c r="AO72" s="40">
        <f t="shared" si="73"/>
        <v>0</v>
      </c>
      <c r="AP72" s="40">
        <f t="shared" si="74"/>
        <v>0</v>
      </c>
      <c r="AQ72" s="44">
        <f t="shared" si="75"/>
        <v>27560.062787607996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13</v>
      </c>
      <c r="G73" s="35">
        <f>SUMIFS(WORKING!$AC$3:$AC$6802,WORKING!$A$3:$A$6802,Results!$D$3,WORKING!$B$3:$B$6802,Results!A73,WORKING!$C$3:$C$6802,Results!C73)/1000</f>
        <v>7841.7176899999986</v>
      </c>
      <c r="H73" s="35">
        <f t="shared" si="60"/>
        <v>603.20905307692294</v>
      </c>
      <c r="I73" s="187">
        <v>13</v>
      </c>
      <c r="J73" s="212">
        <v>7839</v>
      </c>
      <c r="K73" s="217">
        <f t="shared" si="61"/>
        <v>603</v>
      </c>
      <c r="L73" s="34">
        <f t="shared" si="54"/>
        <v>13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657.4121725694414</v>
      </c>
      <c r="N73" s="57">
        <v>0</v>
      </c>
      <c r="O73" s="57">
        <v>0</v>
      </c>
      <c r="P73" s="61">
        <f t="shared" si="55"/>
        <v>13</v>
      </c>
      <c r="Q73" s="40">
        <f t="shared" si="62"/>
        <v>0</v>
      </c>
      <c r="R73" s="40">
        <f t="shared" si="63"/>
        <v>0</v>
      </c>
      <c r="S73" s="44">
        <f t="shared" si="64"/>
        <v>8546.3582434027376</v>
      </c>
      <c r="T73" s="35">
        <f t="shared" si="65"/>
        <v>13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713.62325688266071</v>
      </c>
      <c r="V73" s="57">
        <v>0</v>
      </c>
      <c r="W73" s="57">
        <v>0</v>
      </c>
      <c r="X73" s="61">
        <f t="shared" si="56"/>
        <v>13</v>
      </c>
      <c r="Y73" s="40">
        <f t="shared" si="66"/>
        <v>0</v>
      </c>
      <c r="Z73" s="40">
        <f t="shared" si="67"/>
        <v>0</v>
      </c>
      <c r="AA73" s="44">
        <f t="shared" si="68"/>
        <v>9277.1023394745898</v>
      </c>
      <c r="AB73" s="35">
        <f t="shared" si="69"/>
        <v>13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773.91683457497925</v>
      </c>
      <c r="AD73" s="57">
        <v>0</v>
      </c>
      <c r="AE73" s="57">
        <v>0</v>
      </c>
      <c r="AF73" s="61">
        <f t="shared" si="57"/>
        <v>13</v>
      </c>
      <c r="AG73" s="40">
        <f t="shared" si="70"/>
        <v>0</v>
      </c>
      <c r="AH73" s="40">
        <f t="shared" si="71"/>
        <v>0</v>
      </c>
      <c r="AI73" s="44">
        <f t="shared" si="72"/>
        <v>10060.91884947473</v>
      </c>
      <c r="AJ73" s="35">
        <f t="shared" si="58"/>
        <v>13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837.73476993753161</v>
      </c>
      <c r="AL73" s="57">
        <v>0</v>
      </c>
      <c r="AM73" s="57">
        <v>0</v>
      </c>
      <c r="AN73" s="61">
        <f t="shared" si="59"/>
        <v>13</v>
      </c>
      <c r="AO73" s="40">
        <f t="shared" si="73"/>
        <v>0</v>
      </c>
      <c r="AP73" s="40">
        <f t="shared" si="74"/>
        <v>0</v>
      </c>
      <c r="AQ73" s="44">
        <f t="shared" si="75"/>
        <v>10890.552009187912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48</v>
      </c>
      <c r="G74" s="35">
        <f>SUMIFS(WORKING!$AC$3:$AC$6802,WORKING!$A$3:$A$6802,Results!$D$3,WORKING!$B$3:$B$6802,Results!A74,WORKING!$C$3:$C$6802,Results!C74)/1000</f>
        <v>29643.102379999989</v>
      </c>
      <c r="H74" s="35">
        <f t="shared" si="60"/>
        <v>617.56463291666648</v>
      </c>
      <c r="I74" s="187">
        <v>49</v>
      </c>
      <c r="J74" s="212">
        <v>30282</v>
      </c>
      <c r="K74" s="217">
        <f t="shared" si="61"/>
        <v>618</v>
      </c>
      <c r="L74" s="34">
        <f t="shared" si="54"/>
        <v>49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674.61660186592644</v>
      </c>
      <c r="N74" s="57">
        <v>0</v>
      </c>
      <c r="O74" s="57">
        <v>0</v>
      </c>
      <c r="P74" s="61">
        <f t="shared" si="55"/>
        <v>49</v>
      </c>
      <c r="Q74" s="40">
        <f t="shared" si="62"/>
        <v>0</v>
      </c>
      <c r="R74" s="40">
        <f t="shared" si="63"/>
        <v>0</v>
      </c>
      <c r="S74" s="44">
        <f t="shared" si="64"/>
        <v>33056.213491430397</v>
      </c>
      <c r="T74" s="35">
        <f t="shared" si="65"/>
        <v>49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732.31356798981153</v>
      </c>
      <c r="V74" s="57">
        <v>0</v>
      </c>
      <c r="W74" s="57">
        <v>0</v>
      </c>
      <c r="X74" s="61">
        <f t="shared" si="56"/>
        <v>49</v>
      </c>
      <c r="Y74" s="40">
        <f t="shared" si="66"/>
        <v>0</v>
      </c>
      <c r="Z74" s="40">
        <f t="shared" si="67"/>
        <v>0</v>
      </c>
      <c r="AA74" s="44">
        <f t="shared" si="68"/>
        <v>35883.364831500767</v>
      </c>
      <c r="AB74" s="35">
        <f t="shared" si="69"/>
        <v>49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794.20216040244486</v>
      </c>
      <c r="AD74" s="57">
        <v>0</v>
      </c>
      <c r="AE74" s="57">
        <v>0</v>
      </c>
      <c r="AF74" s="61">
        <f t="shared" si="57"/>
        <v>49</v>
      </c>
      <c r="AG74" s="40">
        <f t="shared" si="70"/>
        <v>0</v>
      </c>
      <c r="AH74" s="40">
        <f t="shared" si="71"/>
        <v>0</v>
      </c>
      <c r="AI74" s="44">
        <f t="shared" si="72"/>
        <v>38915.905859719802</v>
      </c>
      <c r="AJ74" s="35">
        <f t="shared" si="58"/>
        <v>49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859.70957120118283</v>
      </c>
      <c r="AL74" s="57">
        <v>0</v>
      </c>
      <c r="AM74" s="57">
        <v>0</v>
      </c>
      <c r="AN74" s="61">
        <f t="shared" si="59"/>
        <v>49</v>
      </c>
      <c r="AO74" s="40">
        <f t="shared" si="73"/>
        <v>0</v>
      </c>
      <c r="AP74" s="40">
        <f t="shared" si="74"/>
        <v>0</v>
      </c>
      <c r="AQ74" s="44">
        <f t="shared" si="75"/>
        <v>42125.768988857955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14</v>
      </c>
      <c r="G75" s="35">
        <f>SUMIFS(WORKING!$AC$3:$AC$6802,WORKING!$A$3:$A$6802,Results!$D$3,WORKING!$B$3:$B$6802,Results!A75,WORKING!$C$3:$C$6802,Results!C75)/1000</f>
        <v>10491.181170000003</v>
      </c>
      <c r="H75" s="35">
        <f t="shared" si="60"/>
        <v>749.37008357142884</v>
      </c>
      <c r="I75" s="187">
        <v>16</v>
      </c>
      <c r="J75" s="212">
        <v>11984</v>
      </c>
      <c r="K75" s="217">
        <f t="shared" si="61"/>
        <v>749</v>
      </c>
      <c r="L75" s="34">
        <f t="shared" si="54"/>
        <v>16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817.85765332161634</v>
      </c>
      <c r="N75" s="57">
        <v>0</v>
      </c>
      <c r="O75" s="57">
        <v>0</v>
      </c>
      <c r="P75" s="61">
        <f t="shared" si="55"/>
        <v>16</v>
      </c>
      <c r="Q75" s="40">
        <f t="shared" si="62"/>
        <v>0</v>
      </c>
      <c r="R75" s="40">
        <f t="shared" si="63"/>
        <v>0</v>
      </c>
      <c r="S75" s="44">
        <f t="shared" si="64"/>
        <v>13085.722453145861</v>
      </c>
      <c r="T75" s="35">
        <f t="shared" si="65"/>
        <v>16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888.0657741592421</v>
      </c>
      <c r="V75" s="57">
        <v>0</v>
      </c>
      <c r="W75" s="57">
        <v>0</v>
      </c>
      <c r="X75" s="61">
        <f t="shared" si="56"/>
        <v>16</v>
      </c>
      <c r="Y75" s="40">
        <f t="shared" si="66"/>
        <v>0</v>
      </c>
      <c r="Z75" s="40">
        <f t="shared" si="67"/>
        <v>0</v>
      </c>
      <c r="AA75" s="44">
        <f t="shared" si="68"/>
        <v>14209.052386547874</v>
      </c>
      <c r="AB75" s="35">
        <f t="shared" si="69"/>
        <v>16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963.39962076140137</v>
      </c>
      <c r="AD75" s="57">
        <v>0</v>
      </c>
      <c r="AE75" s="57">
        <v>0</v>
      </c>
      <c r="AF75" s="61">
        <f t="shared" si="57"/>
        <v>16</v>
      </c>
      <c r="AG75" s="40">
        <f t="shared" si="70"/>
        <v>0</v>
      </c>
      <c r="AH75" s="40">
        <f t="shared" si="71"/>
        <v>0</v>
      </c>
      <c r="AI75" s="44">
        <f t="shared" si="72"/>
        <v>15414.393932182422</v>
      </c>
      <c r="AJ75" s="35">
        <f t="shared" si="58"/>
        <v>16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1043.1686418334657</v>
      </c>
      <c r="AL75" s="57">
        <v>0</v>
      </c>
      <c r="AM75" s="57">
        <v>0</v>
      </c>
      <c r="AN75" s="61">
        <f t="shared" si="59"/>
        <v>16</v>
      </c>
      <c r="AO75" s="40">
        <f t="shared" si="73"/>
        <v>0</v>
      </c>
      <c r="AP75" s="40">
        <f t="shared" si="74"/>
        <v>0</v>
      </c>
      <c r="AQ75" s="44">
        <f t="shared" si="75"/>
        <v>16690.698269335451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33</v>
      </c>
      <c r="G76" s="35">
        <f>SUMIFS(WORKING!$AC$3:$AC$6802,WORKING!$A$3:$A$6802,Results!$D$3,WORKING!$B$3:$B$6802,Results!A76,WORKING!$C$3:$C$6802,Results!C76)/1000</f>
        <v>32277.396049999996</v>
      </c>
      <c r="H76" s="35">
        <f t="shared" si="60"/>
        <v>978.1029106060605</v>
      </c>
      <c r="I76" s="187">
        <v>34</v>
      </c>
      <c r="J76" s="212">
        <v>33252</v>
      </c>
      <c r="K76" s="217">
        <f t="shared" si="61"/>
        <v>978</v>
      </c>
      <c r="L76" s="34">
        <f t="shared" si="54"/>
        <v>34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1024.9954367256503</v>
      </c>
      <c r="N76" s="57">
        <v>0</v>
      </c>
      <c r="O76" s="57">
        <v>0</v>
      </c>
      <c r="P76" s="61">
        <f t="shared" si="55"/>
        <v>34</v>
      </c>
      <c r="Q76" s="40">
        <f t="shared" si="62"/>
        <v>0</v>
      </c>
      <c r="R76" s="40">
        <f t="shared" si="63"/>
        <v>0</v>
      </c>
      <c r="S76" s="44">
        <f t="shared" si="64"/>
        <v>34849.84484867211</v>
      </c>
      <c r="T76" s="35">
        <f t="shared" si="65"/>
        <v>34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1102.3272736177621</v>
      </c>
      <c r="V76" s="57">
        <v>0</v>
      </c>
      <c r="W76" s="57">
        <v>0</v>
      </c>
      <c r="X76" s="61">
        <f t="shared" si="56"/>
        <v>34</v>
      </c>
      <c r="Y76" s="40">
        <f t="shared" si="66"/>
        <v>0</v>
      </c>
      <c r="Z76" s="40">
        <f t="shared" si="67"/>
        <v>0</v>
      </c>
      <c r="AA76" s="44">
        <f t="shared" si="68"/>
        <v>37479.127303003908</v>
      </c>
      <c r="AB76" s="35">
        <f t="shared" si="69"/>
        <v>34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1184.3751005424103</v>
      </c>
      <c r="AD76" s="57">
        <v>0</v>
      </c>
      <c r="AE76" s="57">
        <v>0</v>
      </c>
      <c r="AF76" s="61">
        <f t="shared" si="57"/>
        <v>34</v>
      </c>
      <c r="AG76" s="40">
        <f t="shared" si="70"/>
        <v>0</v>
      </c>
      <c r="AH76" s="40">
        <f t="shared" si="71"/>
        <v>0</v>
      </c>
      <c r="AI76" s="44">
        <f t="shared" si="72"/>
        <v>40268.753418441949</v>
      </c>
      <c r="AJ76" s="35">
        <f t="shared" si="58"/>
        <v>34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1270.1265999251875</v>
      </c>
      <c r="AL76" s="57">
        <v>0</v>
      </c>
      <c r="AM76" s="57">
        <v>0</v>
      </c>
      <c r="AN76" s="61">
        <f t="shared" si="59"/>
        <v>34</v>
      </c>
      <c r="AO76" s="40">
        <f t="shared" si="73"/>
        <v>0</v>
      </c>
      <c r="AP76" s="40">
        <f t="shared" si="74"/>
        <v>0</v>
      </c>
      <c r="AQ76" s="44">
        <f t="shared" si="75"/>
        <v>43184.304397456377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13</v>
      </c>
      <c r="G77" s="35">
        <f>SUMIFS(WORKING!$AC$3:$AC$6802,WORKING!$A$3:$A$6802,Results!$D$3,WORKING!$B$3:$B$6802,Results!A77,WORKING!$C$3:$C$6802,Results!C77)/1000</f>
        <v>11008.047060000001</v>
      </c>
      <c r="H77" s="35">
        <f t="shared" si="60"/>
        <v>846.77285076923079</v>
      </c>
      <c r="I77" s="187">
        <v>13</v>
      </c>
      <c r="J77" s="212">
        <v>11011</v>
      </c>
      <c r="K77" s="217">
        <f t="shared" si="61"/>
        <v>847</v>
      </c>
      <c r="L77" s="34">
        <f t="shared" si="54"/>
        <v>13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887.79716505229135</v>
      </c>
      <c r="N77" s="57">
        <v>2</v>
      </c>
      <c r="O77" s="57">
        <v>0</v>
      </c>
      <c r="P77" s="61">
        <f t="shared" si="55"/>
        <v>15</v>
      </c>
      <c r="Q77" s="40">
        <f t="shared" si="62"/>
        <v>1775.5943301045827</v>
      </c>
      <c r="R77" s="40">
        <f t="shared" si="63"/>
        <v>0</v>
      </c>
      <c r="S77" s="44">
        <f t="shared" si="64"/>
        <v>13316.957475784369</v>
      </c>
      <c r="T77" s="35">
        <f t="shared" si="65"/>
        <v>15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954.88185584264579</v>
      </c>
      <c r="V77" s="57">
        <v>0</v>
      </c>
      <c r="W77" s="57">
        <v>0</v>
      </c>
      <c r="X77" s="61">
        <f t="shared" si="56"/>
        <v>15</v>
      </c>
      <c r="Y77" s="40">
        <f t="shared" si="66"/>
        <v>0</v>
      </c>
      <c r="Z77" s="40">
        <f t="shared" si="67"/>
        <v>0</v>
      </c>
      <c r="AA77" s="44">
        <f t="shared" si="68"/>
        <v>14323.227837639686</v>
      </c>
      <c r="AB77" s="35">
        <f t="shared" si="69"/>
        <v>15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1026.0667711071969</v>
      </c>
      <c r="AD77" s="57">
        <v>0</v>
      </c>
      <c r="AE77" s="57">
        <v>0</v>
      </c>
      <c r="AF77" s="61">
        <f t="shared" si="57"/>
        <v>15</v>
      </c>
      <c r="AG77" s="40">
        <f t="shared" si="70"/>
        <v>0</v>
      </c>
      <c r="AH77" s="40">
        <f t="shared" si="71"/>
        <v>0</v>
      </c>
      <c r="AI77" s="44">
        <f t="shared" si="72"/>
        <v>15391.001566607954</v>
      </c>
      <c r="AJ77" s="35">
        <f t="shared" si="58"/>
        <v>15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1100.4761446804421</v>
      </c>
      <c r="AL77" s="57">
        <v>0</v>
      </c>
      <c r="AM77" s="57">
        <v>0</v>
      </c>
      <c r="AN77" s="61">
        <f t="shared" si="59"/>
        <v>15</v>
      </c>
      <c r="AO77" s="40">
        <f t="shared" si="73"/>
        <v>0</v>
      </c>
      <c r="AP77" s="40">
        <f t="shared" si="74"/>
        <v>0</v>
      </c>
      <c r="AQ77" s="44">
        <f t="shared" si="75"/>
        <v>16507.142170206633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2</v>
      </c>
      <c r="G78" s="35">
        <f>SUMIFS(WORKING!$AC$3:$AC$6802,WORKING!$A$3:$A$6802,Results!$D$3,WORKING!$B$3:$B$6802,Results!A78,WORKING!$C$3:$C$6802,Results!C78)/1000</f>
        <v>2822.7249299999994</v>
      </c>
      <c r="H78" s="35">
        <f t="shared" si="60"/>
        <v>1411.3624649999997</v>
      </c>
      <c r="I78" s="187">
        <v>2</v>
      </c>
      <c r="J78" s="212">
        <v>2822</v>
      </c>
      <c r="K78" s="217">
        <f t="shared" si="61"/>
        <v>1411</v>
      </c>
      <c r="L78" s="34">
        <f t="shared" si="54"/>
        <v>2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1477.9376561456545</v>
      </c>
      <c r="N78" s="57">
        <v>0</v>
      </c>
      <c r="O78" s="57">
        <v>0</v>
      </c>
      <c r="P78" s="61">
        <f t="shared" si="55"/>
        <v>2</v>
      </c>
      <c r="Q78" s="40">
        <f t="shared" si="62"/>
        <v>0</v>
      </c>
      <c r="R78" s="40">
        <f t="shared" si="63"/>
        <v>0</v>
      </c>
      <c r="S78" s="44">
        <f t="shared" si="64"/>
        <v>2955.875312291309</v>
      </c>
      <c r="T78" s="35">
        <f t="shared" si="65"/>
        <v>2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1588.5129482434102</v>
      </c>
      <c r="V78" s="57">
        <v>0</v>
      </c>
      <c r="W78" s="57">
        <v>0</v>
      </c>
      <c r="X78" s="61">
        <f t="shared" si="56"/>
        <v>2</v>
      </c>
      <c r="Y78" s="40">
        <f t="shared" si="66"/>
        <v>0</v>
      </c>
      <c r="Z78" s="40">
        <f t="shared" si="67"/>
        <v>0</v>
      </c>
      <c r="AA78" s="44">
        <f t="shared" si="68"/>
        <v>3177.0258964868203</v>
      </c>
      <c r="AB78" s="35">
        <f t="shared" si="69"/>
        <v>2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1705.7504660789541</v>
      </c>
      <c r="AD78" s="57">
        <v>0</v>
      </c>
      <c r="AE78" s="57">
        <v>0</v>
      </c>
      <c r="AF78" s="61">
        <f t="shared" si="57"/>
        <v>2</v>
      </c>
      <c r="AG78" s="40">
        <f t="shared" si="70"/>
        <v>0</v>
      </c>
      <c r="AH78" s="40">
        <f t="shared" si="71"/>
        <v>0</v>
      </c>
      <c r="AI78" s="44">
        <f t="shared" si="72"/>
        <v>3411.5009321579082</v>
      </c>
      <c r="AJ78" s="35">
        <f t="shared" si="58"/>
        <v>2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1828.1813122431306</v>
      </c>
      <c r="AL78" s="57">
        <v>0</v>
      </c>
      <c r="AM78" s="57">
        <v>0</v>
      </c>
      <c r="AN78" s="61">
        <f t="shared" si="59"/>
        <v>2</v>
      </c>
      <c r="AO78" s="40">
        <f t="shared" si="73"/>
        <v>0</v>
      </c>
      <c r="AP78" s="40">
        <f t="shared" si="74"/>
        <v>0</v>
      </c>
      <c r="AQ78" s="44">
        <f t="shared" si="75"/>
        <v>3656.3626244862612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4</v>
      </c>
      <c r="G79" s="35">
        <f>SUMIFS(WORKING!$AC$3:$AC$6802,WORKING!$A$3:$A$6802,Results!$D$3,WORKING!$B$3:$B$6802,Results!A79,WORKING!$C$3:$C$6802,Results!C79)/1000</f>
        <v>7733.9350300000006</v>
      </c>
      <c r="H79" s="35">
        <f t="shared" si="60"/>
        <v>1933.4837575000001</v>
      </c>
      <c r="I79" s="187">
        <v>2</v>
      </c>
      <c r="J79" s="212">
        <v>3732</v>
      </c>
      <c r="K79" s="217">
        <f t="shared" si="61"/>
        <v>1866</v>
      </c>
      <c r="L79" s="34">
        <f t="shared" si="54"/>
        <v>2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1956.315036274442</v>
      </c>
      <c r="N79" s="57">
        <v>1</v>
      </c>
      <c r="O79" s="57">
        <v>0</v>
      </c>
      <c r="P79" s="61">
        <f t="shared" si="55"/>
        <v>3</v>
      </c>
      <c r="Q79" s="40">
        <f t="shared" si="62"/>
        <v>1956.315036274442</v>
      </c>
      <c r="R79" s="40">
        <f t="shared" si="63"/>
        <v>0</v>
      </c>
      <c r="S79" s="44">
        <f t="shared" si="64"/>
        <v>5868.9451088233263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2104.6093244593371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6313.8279733780109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2262.0087592157961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6786.0262776473883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2426.5883131396718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7279.7649394190157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2</v>
      </c>
      <c r="J80" s="212">
        <v>4620</v>
      </c>
      <c r="K80" s="217">
        <f t="shared" si="61"/>
        <v>2310</v>
      </c>
      <c r="L80" s="34">
        <f t="shared" si="54"/>
        <v>2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2386.23</v>
      </c>
      <c r="N80" s="57">
        <v>0</v>
      </c>
      <c r="O80" s="57">
        <v>0</v>
      </c>
      <c r="P80" s="61">
        <f t="shared" si="55"/>
        <v>2</v>
      </c>
      <c r="Q80" s="40">
        <f t="shared" si="62"/>
        <v>0</v>
      </c>
      <c r="R80" s="40">
        <f t="shared" si="63"/>
        <v>0</v>
      </c>
      <c r="S80" s="44">
        <f t="shared" si="64"/>
        <v>4772.46</v>
      </c>
      <c r="T80" s="35">
        <f t="shared" si="65"/>
        <v>2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2529.4038</v>
      </c>
      <c r="V80" s="57">
        <v>0</v>
      </c>
      <c r="W80" s="57">
        <v>0</v>
      </c>
      <c r="X80" s="61">
        <f t="shared" si="56"/>
        <v>2</v>
      </c>
      <c r="Y80" s="40">
        <f t="shared" si="66"/>
        <v>0</v>
      </c>
      <c r="Z80" s="40">
        <f t="shared" si="67"/>
        <v>0</v>
      </c>
      <c r="AA80" s="44">
        <f t="shared" si="68"/>
        <v>5058.8076000000001</v>
      </c>
      <c r="AB80" s="35">
        <f t="shared" si="69"/>
        <v>2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2678.6386241999999</v>
      </c>
      <c r="AD80" s="57">
        <v>0</v>
      </c>
      <c r="AE80" s="57">
        <v>0</v>
      </c>
      <c r="AF80" s="61">
        <f t="shared" si="57"/>
        <v>2</v>
      </c>
      <c r="AG80" s="40">
        <f t="shared" si="70"/>
        <v>0</v>
      </c>
      <c r="AH80" s="40">
        <f t="shared" si="71"/>
        <v>0</v>
      </c>
      <c r="AI80" s="44">
        <f t="shared" si="72"/>
        <v>5357.2772483999997</v>
      </c>
      <c r="AJ80" s="35">
        <f t="shared" si="58"/>
        <v>2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2831.3210257793999</v>
      </c>
      <c r="AL80" s="57">
        <v>0</v>
      </c>
      <c r="AM80" s="57">
        <v>0</v>
      </c>
      <c r="AN80" s="61">
        <f t="shared" si="59"/>
        <v>2</v>
      </c>
      <c r="AO80" s="40">
        <f t="shared" si="73"/>
        <v>0</v>
      </c>
      <c r="AP80" s="40">
        <f t="shared" si="74"/>
        <v>0</v>
      </c>
      <c r="AQ80" s="44">
        <f t="shared" si="75"/>
        <v>5662.6420515587997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389</v>
      </c>
      <c r="G84" s="41">
        <f>SUM(G64:G83)</f>
        <v>170678.92846</v>
      </c>
      <c r="H84" s="41">
        <f>IFERROR(G84/F84,0)</f>
        <v>438.76331223650385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374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173357</v>
      </c>
      <c r="K84" s="41">
        <f>IFERROR(J84/I84,"")</f>
        <v>463.52139037433153</v>
      </c>
      <c r="L84" s="41">
        <f>SUM(L64:L83)</f>
        <v>374</v>
      </c>
      <c r="M84" s="41">
        <f>IFERROR(S84/P84,0)</f>
        <v>507.12763751244188</v>
      </c>
      <c r="N84" s="41">
        <f t="shared" ref="N84:T84" si="98">SUM(N64:N83)</f>
        <v>3</v>
      </c>
      <c r="O84" s="41">
        <f t="shared" si="98"/>
        <v>6</v>
      </c>
      <c r="P84" s="41">
        <f t="shared" si="98"/>
        <v>371</v>
      </c>
      <c r="Q84" s="41">
        <f t="shared" si="98"/>
        <v>3731.9093663790245</v>
      </c>
      <c r="R84" s="41">
        <f t="shared" si="98"/>
        <v>-2161.8278893192983</v>
      </c>
      <c r="S84" s="45">
        <f t="shared" si="98"/>
        <v>188144.35351711593</v>
      </c>
      <c r="T84" s="41">
        <f t="shared" si="98"/>
        <v>371</v>
      </c>
      <c r="U84" s="41">
        <f>IFERROR(AA84/X84,0)</f>
        <v>548.5686829774229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371</v>
      </c>
      <c r="Y84" s="41">
        <f t="shared" si="99"/>
        <v>0</v>
      </c>
      <c r="Z84" s="41">
        <f t="shared" si="99"/>
        <v>0</v>
      </c>
      <c r="AA84" s="45">
        <f t="shared" si="99"/>
        <v>203518.98138462391</v>
      </c>
      <c r="AB84" s="41">
        <f t="shared" si="99"/>
        <v>371</v>
      </c>
      <c r="AC84" s="41">
        <f>IFERROR(AI84/AF84,0)</f>
        <v>592.85653446641425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371</v>
      </c>
      <c r="AG84" s="41">
        <f t="shared" si="100"/>
        <v>0</v>
      </c>
      <c r="AH84" s="41">
        <f t="shared" si="100"/>
        <v>0</v>
      </c>
      <c r="AI84" s="45">
        <f t="shared" si="100"/>
        <v>219949.77428703971</v>
      </c>
      <c r="AJ84" s="41">
        <f t="shared" si="100"/>
        <v>371</v>
      </c>
      <c r="AK84" s="41">
        <f>IFERROR(AQ84/AN84,0)</f>
        <v>639.53540196141046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371</v>
      </c>
      <c r="AO84" s="41">
        <f t="shared" si="101"/>
        <v>0</v>
      </c>
      <c r="AP84" s="41">
        <f t="shared" si="101"/>
        <v>0</v>
      </c>
      <c r="AQ84" s="45">
        <f t="shared" si="101"/>
        <v>237267.63412768327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193856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197504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202804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218217.10400000002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5711.646482884069</v>
      </c>
      <c r="T86" s="39"/>
      <c r="U86" s="39"/>
      <c r="V86" s="53"/>
      <c r="W86" s="53"/>
      <c r="X86" s="110"/>
      <c r="Y86" s="39"/>
      <c r="Z86" s="39"/>
      <c r="AA86" s="54">
        <f>AA85-AA84</f>
        <v>-6014.9813846239122</v>
      </c>
      <c r="AB86" s="39"/>
      <c r="AC86" s="53"/>
      <c r="AD86" s="53"/>
      <c r="AE86" s="110"/>
      <c r="AF86" s="39"/>
      <c r="AG86" s="39"/>
      <c r="AH86" s="39"/>
      <c r="AI86" s="54">
        <f>AI85-AI84</f>
        <v>-17145.774287039705</v>
      </c>
      <c r="AJ86" s="53"/>
      <c r="AK86" s="53"/>
      <c r="AL86" s="110"/>
      <c r="AM86" s="110"/>
      <c r="AN86" s="110"/>
      <c r="AO86" s="110"/>
      <c r="AP86" s="111"/>
      <c r="AQ86" s="54">
        <f>AQ85-AQ84</f>
        <v>-19050.530127683247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Social Assistance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6</v>
      </c>
      <c r="G92" s="35">
        <f>SUMIFS(WORKING!$AC$3:$AC$6802,WORKING!$A$3:$A$6802,Results!$D$3,WORKING!$B$3:$B$6802,Results!A92,WORKING!$C$3:$C$6802,Results!C92)/1000</f>
        <v>376.62578000000002</v>
      </c>
      <c r="H92" s="35">
        <f>IFERROR(G92/F92,0)</f>
        <v>62.770963333333334</v>
      </c>
      <c r="I92" s="156">
        <v>0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68.554679894866666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74.453810099819947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80.784989841658131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87.490547923464945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0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0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15</v>
      </c>
      <c r="G95" s="35">
        <f>SUMIFS(WORKING!$AC$3:$AC$6802,WORKING!$A$3:$A$6802,Results!$D$3,WORKING!$B$3:$B$6802,Results!A95,WORKING!$C$3:$C$6802,Results!C95)/1000</f>
        <v>2193.2599500000001</v>
      </c>
      <c r="H95" s="35">
        <f t="shared" si="108"/>
        <v>146.21733</v>
      </c>
      <c r="I95" s="187">
        <v>0</v>
      </c>
      <c r="J95" s="212">
        <v>0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159.68864427320003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173.42860260726761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188.17474808239089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203.79272477613418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5</v>
      </c>
      <c r="G96" s="35">
        <f>SUMIFS(WORKING!$AC$3:$AC$6802,WORKING!$A$3:$A$6802,Results!$D$3,WORKING!$B$3:$B$6802,Results!A96,WORKING!$C$3:$C$6802,Results!C96)/1000</f>
        <v>971.49481000000003</v>
      </c>
      <c r="H96" s="35">
        <f t="shared" si="108"/>
        <v>194.29896200000002</v>
      </c>
      <c r="I96" s="187">
        <v>0</v>
      </c>
      <c r="J96" s="212">
        <v>0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211.02593681643609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228.82486451351411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247.89300494773926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268.04736987539553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9</v>
      </c>
      <c r="G97" s="35">
        <f>SUMIFS(WORKING!$AC$3:$AC$6802,WORKING!$A$3:$A$6802,Results!$D$3,WORKING!$B$3:$B$6802,Results!A97,WORKING!$C$3:$C$6802,Results!C97)/1000</f>
        <v>2103.2113300000001</v>
      </c>
      <c r="H97" s="35">
        <f t="shared" si="108"/>
        <v>233.69014777777778</v>
      </c>
      <c r="I97" s="187">
        <v>0</v>
      </c>
      <c r="J97" s="212">
        <v>0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254.24894719453968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275.82320245004627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298.94864178062932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323.40709451534974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9</v>
      </c>
      <c r="G98" s="35">
        <f>SUMIFS(WORKING!$AC$3:$AC$6802,WORKING!$A$3:$A$6802,Results!$D$3,WORKING!$B$3:$B$6802,Results!A98,WORKING!$C$3:$C$6802,Results!C98)/1000</f>
        <v>2616.6114499999999</v>
      </c>
      <c r="H98" s="35">
        <f t="shared" si="108"/>
        <v>290.73460555555556</v>
      </c>
      <c r="I98" s="187">
        <v>0</v>
      </c>
      <c r="J98" s="212">
        <v>0</v>
      </c>
      <c r="K98" s="217" t="str">
        <f t="shared" si="109"/>
        <v/>
      </c>
      <c r="L98" s="34">
        <f t="shared" si="102"/>
        <v>0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316.45616671495134</v>
      </c>
      <c r="N98" s="57">
        <v>0</v>
      </c>
      <c r="O98" s="57">
        <v>0</v>
      </c>
      <c r="P98" s="61">
        <f t="shared" si="103"/>
        <v>0</v>
      </c>
      <c r="Q98" s="40">
        <f t="shared" si="110"/>
        <v>0</v>
      </c>
      <c r="R98" s="40">
        <f t="shared" si="111"/>
        <v>0</v>
      </c>
      <c r="S98" s="44">
        <f t="shared" si="112"/>
        <v>0</v>
      </c>
      <c r="T98" s="35">
        <f t="shared" si="113"/>
        <v>0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343.35440891165013</v>
      </c>
      <c r="V98" s="57">
        <v>0</v>
      </c>
      <c r="W98" s="57">
        <v>0</v>
      </c>
      <c r="X98" s="61">
        <f t="shared" si="104"/>
        <v>0</v>
      </c>
      <c r="Y98" s="40">
        <f t="shared" si="114"/>
        <v>0</v>
      </c>
      <c r="Z98" s="40">
        <f t="shared" si="115"/>
        <v>0</v>
      </c>
      <c r="AA98" s="44">
        <f t="shared" si="116"/>
        <v>0</v>
      </c>
      <c r="AB98" s="35">
        <f t="shared" si="117"/>
        <v>0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372.19095237112629</v>
      </c>
      <c r="AD98" s="57">
        <v>0</v>
      </c>
      <c r="AE98" s="57">
        <v>0</v>
      </c>
      <c r="AF98" s="61">
        <f t="shared" si="105"/>
        <v>0</v>
      </c>
      <c r="AG98" s="40">
        <f t="shared" si="118"/>
        <v>0</v>
      </c>
      <c r="AH98" s="40">
        <f t="shared" si="119"/>
        <v>0</v>
      </c>
      <c r="AI98" s="44">
        <f t="shared" si="120"/>
        <v>0</v>
      </c>
      <c r="AJ98" s="35">
        <f t="shared" si="106"/>
        <v>0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402.69486419336283</v>
      </c>
      <c r="AL98" s="57">
        <v>0</v>
      </c>
      <c r="AM98" s="57">
        <v>0</v>
      </c>
      <c r="AN98" s="61">
        <f t="shared" si="107"/>
        <v>0</v>
      </c>
      <c r="AO98" s="40">
        <f t="shared" si="121"/>
        <v>0</v>
      </c>
      <c r="AP98" s="40">
        <f t="shared" si="122"/>
        <v>0</v>
      </c>
      <c r="AQ98" s="44">
        <f t="shared" si="123"/>
        <v>0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22</v>
      </c>
      <c r="G99" s="35">
        <f>SUMIFS(WORKING!$AC$3:$AC$6802,WORKING!$A$3:$A$6802,Results!$D$3,WORKING!$B$3:$B$6802,Results!A99,WORKING!$C$3:$C$6802,Results!C99)/1000</f>
        <v>7592.0283799999997</v>
      </c>
      <c r="H99" s="35">
        <f t="shared" si="108"/>
        <v>345.09219909090911</v>
      </c>
      <c r="I99" s="187">
        <v>0</v>
      </c>
      <c r="J99" s="212">
        <v>0</v>
      </c>
      <c r="K99" s="217" t="str">
        <f t="shared" si="109"/>
        <v/>
      </c>
      <c r="L99" s="34">
        <f t="shared" si="102"/>
        <v>0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376.00867606505079</v>
      </c>
      <c r="N99" s="57">
        <v>0</v>
      </c>
      <c r="O99" s="57">
        <v>0</v>
      </c>
      <c r="P99" s="61">
        <f t="shared" si="103"/>
        <v>0</v>
      </c>
      <c r="Q99" s="40">
        <f t="shared" si="110"/>
        <v>0</v>
      </c>
      <c r="R99" s="40">
        <f t="shared" si="111"/>
        <v>0</v>
      </c>
      <c r="S99" s="44">
        <f t="shared" si="112"/>
        <v>0</v>
      </c>
      <c r="T99" s="35">
        <f t="shared" si="113"/>
        <v>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408.08876747945862</v>
      </c>
      <c r="V99" s="57">
        <v>0</v>
      </c>
      <c r="W99" s="57">
        <v>0</v>
      </c>
      <c r="X99" s="61">
        <f t="shared" si="104"/>
        <v>0</v>
      </c>
      <c r="Y99" s="40">
        <f t="shared" si="114"/>
        <v>0</v>
      </c>
      <c r="Z99" s="40">
        <f t="shared" si="115"/>
        <v>0</v>
      </c>
      <c r="AA99" s="44">
        <f t="shared" si="116"/>
        <v>0</v>
      </c>
      <c r="AB99" s="35">
        <f t="shared" si="117"/>
        <v>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442.49207741631187</v>
      </c>
      <c r="AD99" s="57">
        <v>0</v>
      </c>
      <c r="AE99" s="57">
        <v>0</v>
      </c>
      <c r="AF99" s="61">
        <f t="shared" si="105"/>
        <v>0</v>
      </c>
      <c r="AG99" s="40">
        <f t="shared" si="118"/>
        <v>0</v>
      </c>
      <c r="AH99" s="40">
        <f t="shared" si="119"/>
        <v>0</v>
      </c>
      <c r="AI99" s="44">
        <f t="shared" si="120"/>
        <v>0</v>
      </c>
      <c r="AJ99" s="35">
        <f t="shared" si="106"/>
        <v>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478.89839734039236</v>
      </c>
      <c r="AL99" s="57">
        <v>0</v>
      </c>
      <c r="AM99" s="57">
        <v>0</v>
      </c>
      <c r="AN99" s="61">
        <f t="shared" si="107"/>
        <v>0</v>
      </c>
      <c r="AO99" s="40">
        <f t="shared" si="121"/>
        <v>0</v>
      </c>
      <c r="AP99" s="40">
        <f t="shared" si="122"/>
        <v>0</v>
      </c>
      <c r="AQ99" s="44">
        <f t="shared" si="123"/>
        <v>0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9</v>
      </c>
      <c r="G100" s="35">
        <f>SUMIFS(WORKING!$AC$3:$AC$6802,WORKING!$A$3:$A$6802,Results!$D$3,WORKING!$B$3:$B$6802,Results!A100,WORKING!$C$3:$C$6802,Results!C100)/1000</f>
        <v>3577.2341799999999</v>
      </c>
      <c r="H100" s="35">
        <f t="shared" si="108"/>
        <v>397.47046444444442</v>
      </c>
      <c r="I100" s="187">
        <v>0</v>
      </c>
      <c r="J100" s="212">
        <v>0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432.86169105447919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469.72748167357338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509.25672884726418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551.07970782962184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7</v>
      </c>
      <c r="G101" s="35">
        <f>SUMIFS(WORKING!$AC$3:$AC$6802,WORKING!$A$3:$A$6802,Results!$D$3,WORKING!$B$3:$B$6802,Results!A101,WORKING!$C$3:$C$6802,Results!C101)/1000</f>
        <v>3927.0274100000001</v>
      </c>
      <c r="H101" s="35">
        <f t="shared" si="108"/>
        <v>561.00391571428577</v>
      </c>
      <c r="I101" s="187">
        <v>0</v>
      </c>
      <c r="J101" s="212">
        <v>0</v>
      </c>
      <c r="K101" s="217" t="str">
        <f t="shared" si="109"/>
        <v/>
      </c>
      <c r="L101" s="34">
        <f t="shared" si="102"/>
        <v>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611.85784227674753</v>
      </c>
      <c r="N101" s="57">
        <v>0</v>
      </c>
      <c r="O101" s="57">
        <v>0</v>
      </c>
      <c r="P101" s="61">
        <f t="shared" si="103"/>
        <v>0</v>
      </c>
      <c r="Q101" s="40">
        <f t="shared" si="110"/>
        <v>0</v>
      </c>
      <c r="R101" s="40">
        <f t="shared" si="111"/>
        <v>0</v>
      </c>
      <c r="S101" s="44">
        <f t="shared" si="112"/>
        <v>0</v>
      </c>
      <c r="T101" s="35">
        <f t="shared" si="113"/>
        <v>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664.24338396937162</v>
      </c>
      <c r="V101" s="57">
        <v>0</v>
      </c>
      <c r="W101" s="57">
        <v>0</v>
      </c>
      <c r="X101" s="61">
        <f t="shared" si="104"/>
        <v>0</v>
      </c>
      <c r="Y101" s="40">
        <f t="shared" si="114"/>
        <v>0</v>
      </c>
      <c r="Z101" s="40">
        <f t="shared" si="115"/>
        <v>0</v>
      </c>
      <c r="AA101" s="44">
        <f t="shared" si="116"/>
        <v>0</v>
      </c>
      <c r="AB101" s="35">
        <f t="shared" si="117"/>
        <v>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720.44038161310209</v>
      </c>
      <c r="AD101" s="57">
        <v>0</v>
      </c>
      <c r="AE101" s="57">
        <v>0</v>
      </c>
      <c r="AF101" s="61">
        <f t="shared" si="105"/>
        <v>0</v>
      </c>
      <c r="AG101" s="40">
        <f t="shared" si="118"/>
        <v>0</v>
      </c>
      <c r="AH101" s="40">
        <f t="shared" si="119"/>
        <v>0</v>
      </c>
      <c r="AI101" s="44">
        <f t="shared" si="120"/>
        <v>0</v>
      </c>
      <c r="AJ101" s="35">
        <f t="shared" si="106"/>
        <v>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779.93053748665807</v>
      </c>
      <c r="AL101" s="57">
        <v>0</v>
      </c>
      <c r="AM101" s="57">
        <v>0</v>
      </c>
      <c r="AN101" s="61">
        <f t="shared" si="107"/>
        <v>0</v>
      </c>
      <c r="AO101" s="40">
        <f t="shared" si="121"/>
        <v>0</v>
      </c>
      <c r="AP101" s="40">
        <f t="shared" si="122"/>
        <v>0</v>
      </c>
      <c r="AQ101" s="44">
        <f t="shared" si="123"/>
        <v>0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12</v>
      </c>
      <c r="G102" s="35">
        <f>SUMIFS(WORKING!$AC$3:$AC$6802,WORKING!$A$3:$A$6802,Results!$D$3,WORKING!$B$3:$B$6802,Results!A102,WORKING!$C$3:$C$6802,Results!C102)/1000</f>
        <v>7081.5749700000006</v>
      </c>
      <c r="H102" s="35">
        <f t="shared" si="108"/>
        <v>590.13124750000009</v>
      </c>
      <c r="I102" s="187">
        <v>0</v>
      </c>
      <c r="J102" s="212">
        <v>0</v>
      </c>
      <c r="K102" s="217" t="str">
        <f t="shared" si="109"/>
        <v/>
      </c>
      <c r="L102" s="34">
        <f t="shared" si="102"/>
        <v>0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644.36061229175004</v>
      </c>
      <c r="N102" s="57">
        <v>0</v>
      </c>
      <c r="O102" s="57">
        <v>0</v>
      </c>
      <c r="P102" s="61">
        <f t="shared" si="103"/>
        <v>0</v>
      </c>
      <c r="Q102" s="40">
        <f t="shared" si="110"/>
        <v>0</v>
      </c>
      <c r="R102" s="40">
        <f t="shared" si="111"/>
        <v>0</v>
      </c>
      <c r="S102" s="44">
        <f t="shared" si="112"/>
        <v>0</v>
      </c>
      <c r="T102" s="35">
        <f t="shared" si="113"/>
        <v>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699.65004471142834</v>
      </c>
      <c r="V102" s="57">
        <v>0</v>
      </c>
      <c r="W102" s="57">
        <v>0</v>
      </c>
      <c r="X102" s="61">
        <f t="shared" si="104"/>
        <v>0</v>
      </c>
      <c r="Y102" s="40">
        <f t="shared" si="114"/>
        <v>0</v>
      </c>
      <c r="Z102" s="40">
        <f t="shared" si="115"/>
        <v>0</v>
      </c>
      <c r="AA102" s="44">
        <f t="shared" si="116"/>
        <v>0</v>
      </c>
      <c r="AB102" s="35">
        <f t="shared" si="117"/>
        <v>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758.97360822701398</v>
      </c>
      <c r="AD102" s="57">
        <v>0</v>
      </c>
      <c r="AE102" s="57">
        <v>0</v>
      </c>
      <c r="AF102" s="61">
        <f t="shared" si="105"/>
        <v>0</v>
      </c>
      <c r="AG102" s="40">
        <f t="shared" si="118"/>
        <v>0</v>
      </c>
      <c r="AH102" s="40">
        <f t="shared" si="119"/>
        <v>0</v>
      </c>
      <c r="AI102" s="44">
        <f t="shared" si="120"/>
        <v>0</v>
      </c>
      <c r="AJ102" s="35">
        <f t="shared" si="106"/>
        <v>0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821.78686771099956</v>
      </c>
      <c r="AL102" s="57">
        <v>0</v>
      </c>
      <c r="AM102" s="57">
        <v>0</v>
      </c>
      <c r="AN102" s="61">
        <f t="shared" si="107"/>
        <v>0</v>
      </c>
      <c r="AO102" s="40">
        <f t="shared" si="121"/>
        <v>0</v>
      </c>
      <c r="AP102" s="40">
        <f t="shared" si="122"/>
        <v>0</v>
      </c>
      <c r="AQ102" s="44">
        <f t="shared" si="123"/>
        <v>0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6</v>
      </c>
      <c r="G103" s="35">
        <f>SUMIFS(WORKING!$AC$3:$AC$6802,WORKING!$A$3:$A$6802,Results!$D$3,WORKING!$B$3:$B$6802,Results!A103,WORKING!$C$3:$C$6802,Results!C103)/1000</f>
        <v>3952.0436800000007</v>
      </c>
      <c r="H103" s="35">
        <f t="shared" si="108"/>
        <v>658.67394666666678</v>
      </c>
      <c r="I103" s="187">
        <v>0</v>
      </c>
      <c r="J103" s="212">
        <v>0</v>
      </c>
      <c r="K103" s="217" t="str">
        <f t="shared" si="109"/>
        <v/>
      </c>
      <c r="L103" s="34">
        <f t="shared" si="102"/>
        <v>0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719.23026417083349</v>
      </c>
      <c r="N103" s="57">
        <v>0</v>
      </c>
      <c r="O103" s="57">
        <v>0</v>
      </c>
      <c r="P103" s="61">
        <f t="shared" si="103"/>
        <v>0</v>
      </c>
      <c r="Q103" s="40">
        <f t="shared" si="110"/>
        <v>0</v>
      </c>
      <c r="R103" s="40">
        <f t="shared" si="111"/>
        <v>0</v>
      </c>
      <c r="S103" s="44">
        <f t="shared" si="112"/>
        <v>0</v>
      </c>
      <c r="T103" s="35">
        <f t="shared" si="113"/>
        <v>0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780.97463343940115</v>
      </c>
      <c r="V103" s="57">
        <v>0</v>
      </c>
      <c r="W103" s="57">
        <v>0</v>
      </c>
      <c r="X103" s="61">
        <f t="shared" si="104"/>
        <v>0</v>
      </c>
      <c r="Y103" s="40">
        <f t="shared" si="114"/>
        <v>0</v>
      </c>
      <c r="Z103" s="40">
        <f t="shared" si="115"/>
        <v>0</v>
      </c>
      <c r="AA103" s="44">
        <f t="shared" si="116"/>
        <v>0</v>
      </c>
      <c r="AB103" s="35">
        <f t="shared" si="117"/>
        <v>0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847.22708213452233</v>
      </c>
      <c r="AD103" s="57">
        <v>0</v>
      </c>
      <c r="AE103" s="57">
        <v>0</v>
      </c>
      <c r="AF103" s="61">
        <f t="shared" si="105"/>
        <v>0</v>
      </c>
      <c r="AG103" s="40">
        <f t="shared" si="118"/>
        <v>0</v>
      </c>
      <c r="AH103" s="40">
        <f t="shared" si="119"/>
        <v>0</v>
      </c>
      <c r="AI103" s="44">
        <f t="shared" si="120"/>
        <v>0</v>
      </c>
      <c r="AJ103" s="35">
        <f t="shared" si="106"/>
        <v>0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917.38037630665724</v>
      </c>
      <c r="AL103" s="57">
        <v>0</v>
      </c>
      <c r="AM103" s="57">
        <v>0</v>
      </c>
      <c r="AN103" s="61">
        <f t="shared" si="107"/>
        <v>0</v>
      </c>
      <c r="AO103" s="40">
        <f t="shared" si="121"/>
        <v>0</v>
      </c>
      <c r="AP103" s="40">
        <f t="shared" si="122"/>
        <v>0</v>
      </c>
      <c r="AQ103" s="44">
        <f t="shared" si="123"/>
        <v>0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8</v>
      </c>
      <c r="G104" s="35">
        <f>SUMIFS(WORKING!$AC$3:$AC$6802,WORKING!$A$3:$A$6802,Results!$D$3,WORKING!$B$3:$B$6802,Results!A104,WORKING!$C$3:$C$6802,Results!C104)/1000</f>
        <v>5675.0343500000017</v>
      </c>
      <c r="H104" s="35">
        <f t="shared" si="108"/>
        <v>709.37929375000022</v>
      </c>
      <c r="I104" s="187">
        <v>0</v>
      </c>
      <c r="J104" s="212">
        <v>0</v>
      </c>
      <c r="K104" s="217" t="str">
        <f t="shared" si="109"/>
        <v/>
      </c>
      <c r="L104" s="34">
        <f t="shared" si="102"/>
        <v>0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743.56372546125635</v>
      </c>
      <c r="N104" s="57">
        <v>0</v>
      </c>
      <c r="O104" s="57">
        <v>0</v>
      </c>
      <c r="P104" s="61">
        <f t="shared" si="103"/>
        <v>0</v>
      </c>
      <c r="Q104" s="40">
        <f t="shared" si="110"/>
        <v>0</v>
      </c>
      <c r="R104" s="40">
        <f t="shared" si="111"/>
        <v>0</v>
      </c>
      <c r="S104" s="44">
        <f t="shared" si="112"/>
        <v>0</v>
      </c>
      <c r="T104" s="35">
        <f t="shared" si="113"/>
        <v>0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799.76689913733162</v>
      </c>
      <c r="V104" s="57">
        <v>0</v>
      </c>
      <c r="W104" s="57">
        <v>0</v>
      </c>
      <c r="X104" s="61">
        <f t="shared" si="104"/>
        <v>0</v>
      </c>
      <c r="Y104" s="40">
        <f t="shared" si="114"/>
        <v>0</v>
      </c>
      <c r="Z104" s="40">
        <f t="shared" si="115"/>
        <v>0</v>
      </c>
      <c r="AA104" s="44">
        <f t="shared" si="116"/>
        <v>0</v>
      </c>
      <c r="AB104" s="35">
        <f t="shared" si="117"/>
        <v>0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859.40673178150075</v>
      </c>
      <c r="AD104" s="57">
        <v>0</v>
      </c>
      <c r="AE104" s="57">
        <v>0</v>
      </c>
      <c r="AF104" s="61">
        <f t="shared" si="105"/>
        <v>0</v>
      </c>
      <c r="AG104" s="40">
        <f t="shared" si="118"/>
        <v>0</v>
      </c>
      <c r="AH104" s="40">
        <f t="shared" si="119"/>
        <v>0</v>
      </c>
      <c r="AI104" s="44">
        <f t="shared" si="120"/>
        <v>0</v>
      </c>
      <c r="AJ104" s="35">
        <f t="shared" si="106"/>
        <v>0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921.74991047911192</v>
      </c>
      <c r="AL104" s="57">
        <v>0</v>
      </c>
      <c r="AM104" s="57">
        <v>0</v>
      </c>
      <c r="AN104" s="61">
        <f t="shared" si="107"/>
        <v>0</v>
      </c>
      <c r="AO104" s="40">
        <f t="shared" si="121"/>
        <v>0</v>
      </c>
      <c r="AP104" s="40">
        <f t="shared" si="122"/>
        <v>0</v>
      </c>
      <c r="AQ104" s="44">
        <f t="shared" si="123"/>
        <v>0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</v>
      </c>
      <c r="G105" s="35">
        <f>SUMIFS(WORKING!$AC$3:$AC$6802,WORKING!$A$3:$A$6802,Results!$D$3,WORKING!$B$3:$B$6802,Results!A105,WORKING!$C$3:$C$6802,Results!C105)/1000</f>
        <v>1157.1040999999998</v>
      </c>
      <c r="H105" s="35">
        <f t="shared" si="108"/>
        <v>1157.1040999999998</v>
      </c>
      <c r="I105" s="187">
        <v>0</v>
      </c>
      <c r="J105" s="212">
        <v>0</v>
      </c>
      <c r="K105" s="217" t="str">
        <f t="shared" si="109"/>
        <v/>
      </c>
      <c r="L105" s="34">
        <f t="shared" si="102"/>
        <v>0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1212.9192232360997</v>
      </c>
      <c r="N105" s="57">
        <v>0</v>
      </c>
      <c r="O105" s="57">
        <v>0</v>
      </c>
      <c r="P105" s="61">
        <f t="shared" si="103"/>
        <v>0</v>
      </c>
      <c r="Q105" s="40">
        <f t="shared" si="110"/>
        <v>0</v>
      </c>
      <c r="R105" s="40">
        <f t="shared" si="111"/>
        <v>0</v>
      </c>
      <c r="S105" s="44">
        <f t="shared" si="112"/>
        <v>0</v>
      </c>
      <c r="T105" s="35">
        <f t="shared" si="113"/>
        <v>0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1304.658564494644</v>
      </c>
      <c r="V105" s="57">
        <v>0</v>
      </c>
      <c r="W105" s="57">
        <v>0</v>
      </c>
      <c r="X105" s="61">
        <f t="shared" si="104"/>
        <v>0</v>
      </c>
      <c r="Y105" s="40">
        <f t="shared" si="114"/>
        <v>0</v>
      </c>
      <c r="Z105" s="40">
        <f t="shared" si="115"/>
        <v>0</v>
      </c>
      <c r="AA105" s="44">
        <f t="shared" si="116"/>
        <v>0</v>
      </c>
      <c r="AB105" s="35">
        <f t="shared" si="117"/>
        <v>0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1402.0127231623114</v>
      </c>
      <c r="AD105" s="57">
        <v>0</v>
      </c>
      <c r="AE105" s="57">
        <v>0</v>
      </c>
      <c r="AF105" s="61">
        <f t="shared" si="105"/>
        <v>0</v>
      </c>
      <c r="AG105" s="40">
        <f t="shared" si="118"/>
        <v>0</v>
      </c>
      <c r="AH105" s="40">
        <f t="shared" si="119"/>
        <v>0</v>
      </c>
      <c r="AI105" s="44">
        <f t="shared" si="120"/>
        <v>0</v>
      </c>
      <c r="AJ105" s="35">
        <f t="shared" si="106"/>
        <v>0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1503.7861039412533</v>
      </c>
      <c r="AL105" s="57">
        <v>0</v>
      </c>
      <c r="AM105" s="57">
        <v>0</v>
      </c>
      <c r="AN105" s="61">
        <f t="shared" si="107"/>
        <v>0</v>
      </c>
      <c r="AO105" s="40">
        <f t="shared" si="121"/>
        <v>0</v>
      </c>
      <c r="AP105" s="40">
        <f t="shared" si="122"/>
        <v>0</v>
      </c>
      <c r="AQ105" s="44">
        <f t="shared" si="123"/>
        <v>0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>
        <v>0</v>
      </c>
      <c r="J106" s="212">
        <v>0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>
        <v>0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>
        <v>0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109</v>
      </c>
      <c r="G112" s="41">
        <f>SUM(G92:G111)</f>
        <v>41223.250390000001</v>
      </c>
      <c r="H112" s="41">
        <f>IFERROR(G112/F112,0)</f>
        <v>378.19495770642203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0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0</v>
      </c>
      <c r="K112" s="41" t="str">
        <f>IFERROR(J112/I112,"")</f>
        <v/>
      </c>
      <c r="L112" s="41">
        <f>SUM(L92:L111)</f>
        <v>0</v>
      </c>
      <c r="M112" s="41">
        <f>IFERROR(S112/P112,0)</f>
        <v>0</v>
      </c>
      <c r="N112" s="41">
        <f t="shared" ref="N112:T112" si="124">SUM(N92:N111)</f>
        <v>0</v>
      </c>
      <c r="O112" s="41">
        <f t="shared" si="124"/>
        <v>0</v>
      </c>
      <c r="P112" s="41">
        <f t="shared" si="124"/>
        <v>0</v>
      </c>
      <c r="Q112" s="41">
        <f t="shared" si="124"/>
        <v>0</v>
      </c>
      <c r="R112" s="41">
        <f t="shared" si="124"/>
        <v>0</v>
      </c>
      <c r="S112" s="45">
        <f t="shared" si="124"/>
        <v>0</v>
      </c>
      <c r="T112" s="41">
        <f t="shared" si="124"/>
        <v>0</v>
      </c>
      <c r="U112" s="41">
        <f>IFERROR(AA112/X112,0)</f>
        <v>0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0</v>
      </c>
      <c r="Y112" s="41">
        <f t="shared" si="125"/>
        <v>0</v>
      </c>
      <c r="Z112" s="41">
        <f t="shared" si="125"/>
        <v>0</v>
      </c>
      <c r="AA112" s="45">
        <f t="shared" si="125"/>
        <v>0</v>
      </c>
      <c r="AB112" s="41">
        <f t="shared" si="125"/>
        <v>0</v>
      </c>
      <c r="AC112" s="41">
        <f>IFERROR(AI112/AF112,0)</f>
        <v>0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0</v>
      </c>
      <c r="AG112" s="41">
        <f t="shared" si="126"/>
        <v>0</v>
      </c>
      <c r="AH112" s="41">
        <f t="shared" si="126"/>
        <v>0</v>
      </c>
      <c r="AI112" s="45">
        <f t="shared" si="126"/>
        <v>0</v>
      </c>
      <c r="AJ112" s="41">
        <f t="shared" si="126"/>
        <v>0</v>
      </c>
      <c r="AK112" s="41">
        <f>IFERROR(AQ112/AN112,0)</f>
        <v>0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0</v>
      </c>
      <c r="AO112" s="41">
        <f t="shared" si="127"/>
        <v>0</v>
      </c>
      <c r="AP112" s="41">
        <f t="shared" si="127"/>
        <v>0</v>
      </c>
      <c r="AQ112" s="45">
        <f t="shared" si="127"/>
        <v>0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0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0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0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0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0</v>
      </c>
      <c r="T114" s="39"/>
      <c r="U114" s="39"/>
      <c r="V114" s="53"/>
      <c r="W114" s="53"/>
      <c r="X114" s="110"/>
      <c r="Y114" s="39"/>
      <c r="Z114" s="39"/>
      <c r="AA114" s="54">
        <f>AA113-AA112</f>
        <v>0</v>
      </c>
      <c r="AB114" s="39"/>
      <c r="AC114" s="53"/>
      <c r="AD114" s="53"/>
      <c r="AE114" s="110"/>
      <c r="AF114" s="39"/>
      <c r="AG114" s="39"/>
      <c r="AH114" s="39"/>
      <c r="AI114" s="54">
        <f>AI113-AI112</f>
        <v>0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0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Social Security Policy and Administration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3</v>
      </c>
      <c r="G120" s="35">
        <f>SUMIFS(WORKING!$AC$3:$AC$6802,WORKING!$A$3:$A$6802,Results!$D$3,WORKING!$B$3:$B$6802,Results!A120,WORKING!$C$3:$C$6802,Results!C120)/1000</f>
        <v>156.024</v>
      </c>
      <c r="H120" s="35">
        <f>IFERROR(G120/F120,0)</f>
        <v>52.008000000000003</v>
      </c>
      <c r="I120" s="156">
        <v>0</v>
      </c>
      <c r="J120" s="211">
        <v>0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56.80001712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61.687658593175996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66.933268641646706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72.489064605246583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0</v>
      </c>
      <c r="J121" s="212">
        <v>0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18.241320000000002</v>
      </c>
      <c r="H122" s="35">
        <f t="shared" si="134"/>
        <v>0</v>
      </c>
      <c r="I122" s="187">
        <v>0</v>
      </c>
      <c r="J122" s="212">
        <v>0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198.12388000000001</v>
      </c>
      <c r="H123" s="35">
        <f t="shared" si="134"/>
        <v>0</v>
      </c>
      <c r="I123" s="187">
        <v>0</v>
      </c>
      <c r="J123" s="212">
        <v>0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2</v>
      </c>
      <c r="G124" s="35">
        <f>SUMIFS(WORKING!$AC$3:$AC$6802,WORKING!$A$3:$A$6802,Results!$D$3,WORKING!$B$3:$B$6802,Results!A124,WORKING!$C$3:$C$6802,Results!C124)/1000</f>
        <v>364.35260000000005</v>
      </c>
      <c r="H124" s="35">
        <f t="shared" si="134"/>
        <v>182.17630000000003</v>
      </c>
      <c r="I124" s="187">
        <v>2</v>
      </c>
      <c r="J124" s="212">
        <v>364</v>
      </c>
      <c r="K124" s="217">
        <f t="shared" si="135"/>
        <v>182</v>
      </c>
      <c r="L124" s="34">
        <f t="shared" si="128"/>
        <v>2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197.56483695853885</v>
      </c>
      <c r="N124" s="57">
        <v>0</v>
      </c>
      <c r="O124" s="57">
        <v>0</v>
      </c>
      <c r="P124" s="61">
        <f t="shared" si="129"/>
        <v>2</v>
      </c>
      <c r="Q124" s="40">
        <f t="shared" si="136"/>
        <v>0</v>
      </c>
      <c r="R124" s="40">
        <f t="shared" si="137"/>
        <v>0</v>
      </c>
      <c r="S124" s="44">
        <f t="shared" si="138"/>
        <v>395.1296739170777</v>
      </c>
      <c r="T124" s="35">
        <f t="shared" si="139"/>
        <v>2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214.19394972581617</v>
      </c>
      <c r="V124" s="57">
        <v>0</v>
      </c>
      <c r="W124" s="57">
        <v>0</v>
      </c>
      <c r="X124" s="61">
        <f t="shared" si="130"/>
        <v>2</v>
      </c>
      <c r="Y124" s="40">
        <f t="shared" si="140"/>
        <v>0</v>
      </c>
      <c r="Z124" s="40">
        <f t="shared" si="141"/>
        <v>0</v>
      </c>
      <c r="AA124" s="44">
        <f t="shared" si="142"/>
        <v>428.38789945163234</v>
      </c>
      <c r="AB124" s="35">
        <f t="shared" si="143"/>
        <v>2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232.00571457612241</v>
      </c>
      <c r="AD124" s="57">
        <v>0</v>
      </c>
      <c r="AE124" s="57">
        <v>0</v>
      </c>
      <c r="AF124" s="61">
        <f t="shared" si="131"/>
        <v>2</v>
      </c>
      <c r="AG124" s="40">
        <f t="shared" si="144"/>
        <v>0</v>
      </c>
      <c r="AH124" s="40">
        <f t="shared" si="145"/>
        <v>0</v>
      </c>
      <c r="AI124" s="44">
        <f t="shared" si="146"/>
        <v>464.01142915224483</v>
      </c>
      <c r="AJ124" s="35">
        <f t="shared" si="132"/>
        <v>2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250.82850662028017</v>
      </c>
      <c r="AL124" s="57">
        <v>0</v>
      </c>
      <c r="AM124" s="57">
        <v>0</v>
      </c>
      <c r="AN124" s="61">
        <f t="shared" si="133"/>
        <v>2</v>
      </c>
      <c r="AO124" s="40">
        <f t="shared" si="147"/>
        <v>0</v>
      </c>
      <c r="AP124" s="40">
        <f t="shared" si="148"/>
        <v>0</v>
      </c>
      <c r="AQ124" s="44">
        <f t="shared" si="149"/>
        <v>501.65701324056033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20</v>
      </c>
      <c r="G125" s="35">
        <f>SUMIFS(WORKING!$AC$3:$AC$6802,WORKING!$A$3:$A$6802,Results!$D$3,WORKING!$B$3:$B$6802,Results!A125,WORKING!$C$3:$C$6802,Results!C125)/1000</f>
        <v>4043.6939899999998</v>
      </c>
      <c r="H125" s="35">
        <f t="shared" si="134"/>
        <v>202.18469949999999</v>
      </c>
      <c r="I125" s="187">
        <v>21</v>
      </c>
      <c r="J125" s="212">
        <v>4242</v>
      </c>
      <c r="K125" s="217">
        <f t="shared" si="135"/>
        <v>202</v>
      </c>
      <c r="L125" s="34">
        <f t="shared" si="128"/>
        <v>21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219.77607993201664</v>
      </c>
      <c r="N125" s="57">
        <v>0</v>
      </c>
      <c r="O125" s="57">
        <v>0</v>
      </c>
      <c r="P125" s="61">
        <f t="shared" si="129"/>
        <v>21</v>
      </c>
      <c r="Q125" s="40">
        <f t="shared" si="136"/>
        <v>0</v>
      </c>
      <c r="R125" s="40">
        <f t="shared" si="137"/>
        <v>0</v>
      </c>
      <c r="S125" s="44">
        <f t="shared" si="138"/>
        <v>4615.2976785723495</v>
      </c>
      <c r="T125" s="35">
        <f t="shared" si="139"/>
        <v>21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238.42776110969015</v>
      </c>
      <c r="V125" s="57">
        <v>0</v>
      </c>
      <c r="W125" s="57">
        <v>0</v>
      </c>
      <c r="X125" s="61">
        <f t="shared" si="130"/>
        <v>21</v>
      </c>
      <c r="Y125" s="40">
        <f t="shared" si="140"/>
        <v>0</v>
      </c>
      <c r="Z125" s="40">
        <f t="shared" si="141"/>
        <v>0</v>
      </c>
      <c r="AA125" s="44">
        <f t="shared" si="142"/>
        <v>5006.9829833034928</v>
      </c>
      <c r="AB125" s="35">
        <f t="shared" si="143"/>
        <v>21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258.42069304879368</v>
      </c>
      <c r="AD125" s="57">
        <v>0</v>
      </c>
      <c r="AE125" s="57">
        <v>0</v>
      </c>
      <c r="AF125" s="61">
        <f t="shared" si="131"/>
        <v>21</v>
      </c>
      <c r="AG125" s="40">
        <f t="shared" si="144"/>
        <v>0</v>
      </c>
      <c r="AH125" s="40">
        <f t="shared" si="145"/>
        <v>0</v>
      </c>
      <c r="AI125" s="44">
        <f t="shared" si="146"/>
        <v>5426.8345540246673</v>
      </c>
      <c r="AJ125" s="35">
        <f t="shared" si="132"/>
        <v>21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279.56625549353072</v>
      </c>
      <c r="AL125" s="57">
        <v>0</v>
      </c>
      <c r="AM125" s="57">
        <v>0</v>
      </c>
      <c r="AN125" s="61">
        <f t="shared" si="133"/>
        <v>21</v>
      </c>
      <c r="AO125" s="40">
        <f t="shared" si="147"/>
        <v>0</v>
      </c>
      <c r="AP125" s="40">
        <f t="shared" si="148"/>
        <v>0</v>
      </c>
      <c r="AQ125" s="44">
        <f t="shared" si="149"/>
        <v>5870.8913653641448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19</v>
      </c>
      <c r="G126" s="35">
        <f>SUMIFS(WORKING!$AC$3:$AC$6802,WORKING!$A$3:$A$6802,Results!$D$3,WORKING!$B$3:$B$6802,Results!A126,WORKING!$C$3:$C$6802,Results!C126)/1000</f>
        <v>5130.5247399999998</v>
      </c>
      <c r="H126" s="35">
        <f t="shared" si="134"/>
        <v>270.02761789473681</v>
      </c>
      <c r="I126" s="187">
        <v>19</v>
      </c>
      <c r="J126" s="212">
        <v>5130</v>
      </c>
      <c r="K126" s="217">
        <f t="shared" si="135"/>
        <v>270</v>
      </c>
      <c r="L126" s="34">
        <f t="shared" si="128"/>
        <v>19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293.95073507007424</v>
      </c>
      <c r="N126" s="57">
        <v>0</v>
      </c>
      <c r="O126" s="57">
        <v>0</v>
      </c>
      <c r="P126" s="61">
        <f t="shared" si="129"/>
        <v>19</v>
      </c>
      <c r="Q126" s="40">
        <f t="shared" si="136"/>
        <v>0</v>
      </c>
      <c r="R126" s="40">
        <f t="shared" si="137"/>
        <v>0</v>
      </c>
      <c r="S126" s="44">
        <f t="shared" si="138"/>
        <v>5585.0639663314105</v>
      </c>
      <c r="T126" s="35">
        <f t="shared" si="139"/>
        <v>19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318.95639774375769</v>
      </c>
      <c r="V126" s="57">
        <v>0</v>
      </c>
      <c r="W126" s="57">
        <v>0</v>
      </c>
      <c r="X126" s="61">
        <f t="shared" si="130"/>
        <v>19</v>
      </c>
      <c r="Y126" s="40">
        <f t="shared" si="140"/>
        <v>0</v>
      </c>
      <c r="Z126" s="40">
        <f t="shared" si="141"/>
        <v>0</v>
      </c>
      <c r="AA126" s="44">
        <f t="shared" si="142"/>
        <v>6060.1715571313962</v>
      </c>
      <c r="AB126" s="35">
        <f t="shared" si="143"/>
        <v>19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345.7658943024249</v>
      </c>
      <c r="AD126" s="57">
        <v>0</v>
      </c>
      <c r="AE126" s="57">
        <v>0</v>
      </c>
      <c r="AF126" s="61">
        <f t="shared" si="131"/>
        <v>19</v>
      </c>
      <c r="AG126" s="40">
        <f t="shared" si="144"/>
        <v>0</v>
      </c>
      <c r="AH126" s="40">
        <f t="shared" si="145"/>
        <v>0</v>
      </c>
      <c r="AI126" s="44">
        <f t="shared" si="146"/>
        <v>6569.5519917460733</v>
      </c>
      <c r="AJ126" s="35">
        <f t="shared" si="132"/>
        <v>19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374.12780351956326</v>
      </c>
      <c r="AL126" s="57">
        <v>0</v>
      </c>
      <c r="AM126" s="57">
        <v>0</v>
      </c>
      <c r="AN126" s="61">
        <f t="shared" si="133"/>
        <v>19</v>
      </c>
      <c r="AO126" s="40">
        <f t="shared" si="147"/>
        <v>0</v>
      </c>
      <c r="AP126" s="40">
        <f t="shared" si="148"/>
        <v>0</v>
      </c>
      <c r="AQ126" s="44">
        <f t="shared" si="149"/>
        <v>7108.4282668717024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3</v>
      </c>
      <c r="G127" s="35">
        <f>SUMIFS(WORKING!$AC$3:$AC$6802,WORKING!$A$3:$A$6802,Results!$D$3,WORKING!$B$3:$B$6802,Results!A127,WORKING!$C$3:$C$6802,Results!C127)/1000</f>
        <v>940.56461000000002</v>
      </c>
      <c r="H127" s="35">
        <f t="shared" si="134"/>
        <v>313.52153666666669</v>
      </c>
      <c r="I127" s="187">
        <v>3</v>
      </c>
      <c r="J127" s="212">
        <v>942</v>
      </c>
      <c r="K127" s="217">
        <f t="shared" si="135"/>
        <v>314</v>
      </c>
      <c r="L127" s="34">
        <f t="shared" si="128"/>
        <v>3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341.87801939616025</v>
      </c>
      <c r="N127" s="57">
        <v>0</v>
      </c>
      <c r="O127" s="57">
        <v>0</v>
      </c>
      <c r="P127" s="61">
        <f t="shared" si="129"/>
        <v>3</v>
      </c>
      <c r="Q127" s="40">
        <f t="shared" si="136"/>
        <v>0</v>
      </c>
      <c r="R127" s="40">
        <f t="shared" si="137"/>
        <v>0</v>
      </c>
      <c r="S127" s="44">
        <f t="shared" si="138"/>
        <v>1025.6340581884808</v>
      </c>
      <c r="T127" s="35">
        <f t="shared" si="139"/>
        <v>3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370.97058290086954</v>
      </c>
      <c r="V127" s="57">
        <v>0</v>
      </c>
      <c r="W127" s="57">
        <v>0</v>
      </c>
      <c r="X127" s="61">
        <f t="shared" si="130"/>
        <v>3</v>
      </c>
      <c r="Y127" s="40">
        <f t="shared" si="140"/>
        <v>0</v>
      </c>
      <c r="Z127" s="40">
        <f t="shared" si="141"/>
        <v>0</v>
      </c>
      <c r="AA127" s="44">
        <f t="shared" si="142"/>
        <v>1112.9117487026087</v>
      </c>
      <c r="AB127" s="35">
        <f t="shared" si="143"/>
        <v>3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402.16263144147729</v>
      </c>
      <c r="AD127" s="57">
        <v>0</v>
      </c>
      <c r="AE127" s="57">
        <v>0</v>
      </c>
      <c r="AF127" s="61">
        <f t="shared" si="131"/>
        <v>3</v>
      </c>
      <c r="AG127" s="40">
        <f t="shared" si="144"/>
        <v>0</v>
      </c>
      <c r="AH127" s="40">
        <f t="shared" si="145"/>
        <v>0</v>
      </c>
      <c r="AI127" s="44">
        <f t="shared" si="146"/>
        <v>1206.4878943244319</v>
      </c>
      <c r="AJ127" s="35">
        <f t="shared" si="132"/>
        <v>3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435.16174671303048</v>
      </c>
      <c r="AL127" s="57">
        <v>0</v>
      </c>
      <c r="AM127" s="57">
        <v>0</v>
      </c>
      <c r="AN127" s="61">
        <f t="shared" si="133"/>
        <v>3</v>
      </c>
      <c r="AO127" s="40">
        <f t="shared" si="147"/>
        <v>0</v>
      </c>
      <c r="AP127" s="40">
        <f t="shared" si="148"/>
        <v>0</v>
      </c>
      <c r="AQ127" s="44">
        <f t="shared" si="149"/>
        <v>1305.4852401390915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4</v>
      </c>
      <c r="G128" s="35">
        <f>SUMIFS(WORKING!$AC$3:$AC$6802,WORKING!$A$3:$A$6802,Results!$D$3,WORKING!$B$3:$B$6802,Results!A128,WORKING!$C$3:$C$6802,Results!C128)/1000</f>
        <v>2135.97822</v>
      </c>
      <c r="H128" s="35">
        <f t="shared" si="134"/>
        <v>533.99455499999999</v>
      </c>
      <c r="I128" s="187">
        <v>4</v>
      </c>
      <c r="J128" s="212">
        <v>2136</v>
      </c>
      <c r="K128" s="217">
        <f t="shared" si="135"/>
        <v>534</v>
      </c>
      <c r="L128" s="34">
        <f t="shared" si="128"/>
        <v>4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581.96771639631311</v>
      </c>
      <c r="N128" s="57">
        <v>0</v>
      </c>
      <c r="O128" s="57">
        <v>0</v>
      </c>
      <c r="P128" s="61">
        <f t="shared" si="129"/>
        <v>4</v>
      </c>
      <c r="Q128" s="40">
        <f t="shared" si="136"/>
        <v>0</v>
      </c>
      <c r="R128" s="40">
        <f t="shared" si="137"/>
        <v>0</v>
      </c>
      <c r="S128" s="44">
        <f t="shared" si="138"/>
        <v>2327.8708655852524</v>
      </c>
      <c r="T128" s="35">
        <f t="shared" si="139"/>
        <v>4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631.66166382428787</v>
      </c>
      <c r="V128" s="57">
        <v>0</v>
      </c>
      <c r="W128" s="57">
        <v>0</v>
      </c>
      <c r="X128" s="61">
        <f t="shared" si="130"/>
        <v>4</v>
      </c>
      <c r="Y128" s="40">
        <f t="shared" si="140"/>
        <v>0</v>
      </c>
      <c r="Z128" s="40">
        <f t="shared" si="141"/>
        <v>0</v>
      </c>
      <c r="AA128" s="44">
        <f t="shared" si="142"/>
        <v>2526.6466552971515</v>
      </c>
      <c r="AB128" s="35">
        <f t="shared" si="143"/>
        <v>4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684.95833206785358</v>
      </c>
      <c r="AD128" s="57">
        <v>0</v>
      </c>
      <c r="AE128" s="57">
        <v>0</v>
      </c>
      <c r="AF128" s="61">
        <f t="shared" si="131"/>
        <v>4</v>
      </c>
      <c r="AG128" s="40">
        <f t="shared" si="144"/>
        <v>0</v>
      </c>
      <c r="AH128" s="40">
        <f t="shared" si="145"/>
        <v>0</v>
      </c>
      <c r="AI128" s="44">
        <f t="shared" si="146"/>
        <v>2739.8333282714143</v>
      </c>
      <c r="AJ128" s="35">
        <f t="shared" si="132"/>
        <v>4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741.36257590321611</v>
      </c>
      <c r="AL128" s="57">
        <v>0</v>
      </c>
      <c r="AM128" s="57">
        <v>0</v>
      </c>
      <c r="AN128" s="61">
        <f t="shared" si="133"/>
        <v>4</v>
      </c>
      <c r="AO128" s="40">
        <f t="shared" si="147"/>
        <v>0</v>
      </c>
      <c r="AP128" s="40">
        <f t="shared" si="148"/>
        <v>0</v>
      </c>
      <c r="AQ128" s="44">
        <f t="shared" si="149"/>
        <v>2965.4503036128644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2</v>
      </c>
      <c r="G129" s="35">
        <f>SUMIFS(WORKING!$AC$3:$AC$6802,WORKING!$A$3:$A$6802,Results!$D$3,WORKING!$B$3:$B$6802,Results!A129,WORKING!$C$3:$C$6802,Results!C129)/1000</f>
        <v>946.96801000000005</v>
      </c>
      <c r="H129" s="35">
        <f t="shared" si="134"/>
        <v>473.48400500000002</v>
      </c>
      <c r="I129" s="187">
        <v>2</v>
      </c>
      <c r="J129" s="212">
        <v>946</v>
      </c>
      <c r="K129" s="217">
        <f t="shared" si="135"/>
        <v>473</v>
      </c>
      <c r="L129" s="34">
        <f t="shared" si="128"/>
        <v>2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515.96940316214727</v>
      </c>
      <c r="N129" s="57">
        <v>0</v>
      </c>
      <c r="O129" s="57">
        <v>0</v>
      </c>
      <c r="P129" s="61">
        <f t="shared" si="129"/>
        <v>2</v>
      </c>
      <c r="Q129" s="40">
        <f t="shared" si="136"/>
        <v>0</v>
      </c>
      <c r="R129" s="40">
        <f t="shared" si="137"/>
        <v>0</v>
      </c>
      <c r="S129" s="44">
        <f t="shared" si="138"/>
        <v>1031.9388063242945</v>
      </c>
      <c r="T129" s="35">
        <f t="shared" si="139"/>
        <v>2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560.17343478743226</v>
      </c>
      <c r="V129" s="57">
        <v>0</v>
      </c>
      <c r="W129" s="57">
        <v>0</v>
      </c>
      <c r="X129" s="61">
        <f t="shared" si="130"/>
        <v>2</v>
      </c>
      <c r="Y129" s="40">
        <f t="shared" si="140"/>
        <v>0</v>
      </c>
      <c r="Z129" s="40">
        <f t="shared" si="141"/>
        <v>0</v>
      </c>
      <c r="AA129" s="44">
        <f t="shared" si="142"/>
        <v>1120.3468695748645</v>
      </c>
      <c r="AB129" s="35">
        <f t="shared" si="143"/>
        <v>2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607.59639637492671</v>
      </c>
      <c r="AD129" s="57">
        <v>0</v>
      </c>
      <c r="AE129" s="57">
        <v>0</v>
      </c>
      <c r="AF129" s="61">
        <f t="shared" si="131"/>
        <v>2</v>
      </c>
      <c r="AG129" s="40">
        <f t="shared" si="144"/>
        <v>0</v>
      </c>
      <c r="AH129" s="40">
        <f t="shared" si="145"/>
        <v>0</v>
      </c>
      <c r="AI129" s="44">
        <f t="shared" si="146"/>
        <v>1215.1927927498534</v>
      </c>
      <c r="AJ129" s="35">
        <f t="shared" si="132"/>
        <v>2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657.80166573610529</v>
      </c>
      <c r="AL129" s="57">
        <v>0</v>
      </c>
      <c r="AM129" s="57">
        <v>0</v>
      </c>
      <c r="AN129" s="61">
        <f t="shared" si="133"/>
        <v>2</v>
      </c>
      <c r="AO129" s="40">
        <f t="shared" si="147"/>
        <v>0</v>
      </c>
      <c r="AP129" s="40">
        <f t="shared" si="148"/>
        <v>0</v>
      </c>
      <c r="AQ129" s="44">
        <f t="shared" si="149"/>
        <v>1315.6033314722106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12</v>
      </c>
      <c r="G130" s="35">
        <f>SUMIFS(WORKING!$AC$3:$AC$6802,WORKING!$A$3:$A$6802,Results!$D$3,WORKING!$B$3:$B$6802,Results!A130,WORKING!$C$3:$C$6802,Results!C130)/1000</f>
        <v>7640.36391</v>
      </c>
      <c r="H130" s="35">
        <f t="shared" si="134"/>
        <v>636.69699249999996</v>
      </c>
      <c r="I130" s="187">
        <v>12</v>
      </c>
      <c r="J130" s="212">
        <v>7644</v>
      </c>
      <c r="K130" s="217">
        <f t="shared" si="135"/>
        <v>637</v>
      </c>
      <c r="L130" s="34">
        <f t="shared" si="128"/>
        <v>12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695.44177626833334</v>
      </c>
      <c r="N130" s="57">
        <v>0</v>
      </c>
      <c r="O130" s="57">
        <v>0</v>
      </c>
      <c r="P130" s="61">
        <f t="shared" si="129"/>
        <v>12</v>
      </c>
      <c r="Q130" s="40">
        <f t="shared" si="136"/>
        <v>0</v>
      </c>
      <c r="R130" s="40">
        <f t="shared" si="137"/>
        <v>0</v>
      </c>
      <c r="S130" s="44">
        <f t="shared" si="138"/>
        <v>8345.3013152200001</v>
      </c>
      <c r="T130" s="35">
        <f t="shared" si="139"/>
        <v>12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755.01160276126245</v>
      </c>
      <c r="V130" s="57">
        <v>0</v>
      </c>
      <c r="W130" s="57">
        <v>0</v>
      </c>
      <c r="X130" s="61">
        <f t="shared" si="130"/>
        <v>12</v>
      </c>
      <c r="Y130" s="40">
        <f t="shared" si="140"/>
        <v>0</v>
      </c>
      <c r="Z130" s="40">
        <f t="shared" si="141"/>
        <v>0</v>
      </c>
      <c r="AA130" s="44">
        <f t="shared" si="142"/>
        <v>9060.139233135149</v>
      </c>
      <c r="AB130" s="35">
        <f t="shared" si="143"/>
        <v>12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818.91797375343697</v>
      </c>
      <c r="AD130" s="57">
        <v>0</v>
      </c>
      <c r="AE130" s="57">
        <v>0</v>
      </c>
      <c r="AF130" s="61">
        <f t="shared" si="131"/>
        <v>12</v>
      </c>
      <c r="AG130" s="40">
        <f t="shared" si="144"/>
        <v>0</v>
      </c>
      <c r="AH130" s="40">
        <f t="shared" si="145"/>
        <v>0</v>
      </c>
      <c r="AI130" s="44">
        <f t="shared" si="146"/>
        <v>9827.0156850412441</v>
      </c>
      <c r="AJ130" s="35">
        <f t="shared" si="132"/>
        <v>12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886.57176252277452</v>
      </c>
      <c r="AL130" s="57">
        <v>0</v>
      </c>
      <c r="AM130" s="57">
        <v>0</v>
      </c>
      <c r="AN130" s="61">
        <f t="shared" si="133"/>
        <v>12</v>
      </c>
      <c r="AO130" s="40">
        <f t="shared" si="147"/>
        <v>0</v>
      </c>
      <c r="AP130" s="40">
        <f t="shared" si="148"/>
        <v>0</v>
      </c>
      <c r="AQ130" s="44">
        <f t="shared" si="149"/>
        <v>10638.861150273295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5</v>
      </c>
      <c r="G131" s="35">
        <f>SUMIFS(WORKING!$AC$3:$AC$6802,WORKING!$A$3:$A$6802,Results!$D$3,WORKING!$B$3:$B$6802,Results!A131,WORKING!$C$3:$C$6802,Results!C131)/1000</f>
        <v>3795.84015</v>
      </c>
      <c r="H131" s="35">
        <f t="shared" si="134"/>
        <v>759.16803000000004</v>
      </c>
      <c r="I131" s="187">
        <v>5</v>
      </c>
      <c r="J131" s="212">
        <v>3795</v>
      </c>
      <c r="K131" s="217">
        <f t="shared" si="135"/>
        <v>759</v>
      </c>
      <c r="L131" s="34">
        <f t="shared" si="128"/>
        <v>5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828.76131357650718</v>
      </c>
      <c r="N131" s="57">
        <v>0</v>
      </c>
      <c r="O131" s="57">
        <v>0</v>
      </c>
      <c r="P131" s="61">
        <f t="shared" si="129"/>
        <v>5</v>
      </c>
      <c r="Q131" s="40">
        <f t="shared" si="136"/>
        <v>0</v>
      </c>
      <c r="R131" s="40">
        <f t="shared" si="137"/>
        <v>0</v>
      </c>
      <c r="S131" s="44">
        <f t="shared" si="138"/>
        <v>4143.806567882536</v>
      </c>
      <c r="T131" s="35">
        <f t="shared" si="139"/>
        <v>5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899.88843533451336</v>
      </c>
      <c r="V131" s="57">
        <v>0</v>
      </c>
      <c r="W131" s="57">
        <v>0</v>
      </c>
      <c r="X131" s="61">
        <f t="shared" si="130"/>
        <v>5</v>
      </c>
      <c r="Y131" s="40">
        <f t="shared" si="140"/>
        <v>0</v>
      </c>
      <c r="Z131" s="40">
        <f t="shared" si="141"/>
        <v>0</v>
      </c>
      <c r="AA131" s="44">
        <f t="shared" si="142"/>
        <v>4499.4421766725663</v>
      </c>
      <c r="AB131" s="35">
        <f t="shared" si="143"/>
        <v>5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976.20673300837109</v>
      </c>
      <c r="AD131" s="57">
        <v>0</v>
      </c>
      <c r="AE131" s="57">
        <v>0</v>
      </c>
      <c r="AF131" s="61">
        <f t="shared" si="131"/>
        <v>5</v>
      </c>
      <c r="AG131" s="40">
        <f t="shared" si="144"/>
        <v>0</v>
      </c>
      <c r="AH131" s="40">
        <f t="shared" si="145"/>
        <v>0</v>
      </c>
      <c r="AI131" s="44">
        <f t="shared" si="146"/>
        <v>4881.0336650418558</v>
      </c>
      <c r="AJ131" s="35">
        <f t="shared" si="132"/>
        <v>5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1057.0161940886007</v>
      </c>
      <c r="AL131" s="57">
        <v>0</v>
      </c>
      <c r="AM131" s="57">
        <v>0</v>
      </c>
      <c r="AN131" s="61">
        <f t="shared" si="133"/>
        <v>5</v>
      </c>
      <c r="AO131" s="40">
        <f t="shared" si="147"/>
        <v>0</v>
      </c>
      <c r="AP131" s="40">
        <f t="shared" si="148"/>
        <v>0</v>
      </c>
      <c r="AQ131" s="44">
        <f t="shared" si="149"/>
        <v>5285.0809704430039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13</v>
      </c>
      <c r="G132" s="35">
        <f>SUMIFS(WORKING!$AC$3:$AC$6802,WORKING!$A$3:$A$6802,Results!$D$3,WORKING!$B$3:$B$6802,Results!A132,WORKING!$C$3:$C$6802,Results!C132)/1000</f>
        <v>13291.663889999996</v>
      </c>
      <c r="H132" s="35">
        <f t="shared" si="134"/>
        <v>1022.4356838461536</v>
      </c>
      <c r="I132" s="187">
        <v>13</v>
      </c>
      <c r="J132" s="212">
        <v>13286</v>
      </c>
      <c r="K132" s="217">
        <f t="shared" si="135"/>
        <v>1022</v>
      </c>
      <c r="L132" s="34">
        <f t="shared" si="128"/>
        <v>13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1071.3282380919768</v>
      </c>
      <c r="N132" s="57">
        <v>0</v>
      </c>
      <c r="O132" s="57">
        <v>1</v>
      </c>
      <c r="P132" s="61">
        <f t="shared" si="129"/>
        <v>12</v>
      </c>
      <c r="Q132" s="40">
        <f t="shared" si="136"/>
        <v>0</v>
      </c>
      <c r="R132" s="40">
        <f t="shared" si="137"/>
        <v>-1071.3282380919768</v>
      </c>
      <c r="S132" s="44">
        <f t="shared" si="138"/>
        <v>12855.938857103722</v>
      </c>
      <c r="T132" s="35">
        <f t="shared" si="139"/>
        <v>12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1152.3907200895451</v>
      </c>
      <c r="V132" s="57">
        <v>0</v>
      </c>
      <c r="W132" s="57">
        <v>0</v>
      </c>
      <c r="X132" s="61">
        <f t="shared" si="130"/>
        <v>12</v>
      </c>
      <c r="Y132" s="40">
        <f t="shared" si="140"/>
        <v>0</v>
      </c>
      <c r="Z132" s="40">
        <f t="shared" si="141"/>
        <v>0</v>
      </c>
      <c r="AA132" s="44">
        <f t="shared" si="142"/>
        <v>13828.688641074541</v>
      </c>
      <c r="AB132" s="35">
        <f t="shared" si="143"/>
        <v>12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1238.4174058535589</v>
      </c>
      <c r="AD132" s="57">
        <v>0</v>
      </c>
      <c r="AE132" s="57">
        <v>0</v>
      </c>
      <c r="AF132" s="61">
        <f t="shared" si="131"/>
        <v>12</v>
      </c>
      <c r="AG132" s="40">
        <f t="shared" si="144"/>
        <v>0</v>
      </c>
      <c r="AH132" s="40">
        <f t="shared" si="145"/>
        <v>0</v>
      </c>
      <c r="AI132" s="44">
        <f t="shared" si="146"/>
        <v>14861.008870242706</v>
      </c>
      <c r="AJ132" s="35">
        <f t="shared" si="132"/>
        <v>12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1328.3525981830087</v>
      </c>
      <c r="AL132" s="57">
        <v>0</v>
      </c>
      <c r="AM132" s="57">
        <v>0</v>
      </c>
      <c r="AN132" s="61">
        <f t="shared" si="133"/>
        <v>12</v>
      </c>
      <c r="AO132" s="40">
        <f t="shared" si="147"/>
        <v>0</v>
      </c>
      <c r="AP132" s="40">
        <f t="shared" si="148"/>
        <v>0</v>
      </c>
      <c r="AQ132" s="44">
        <f t="shared" si="149"/>
        <v>15940.231178196103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6</v>
      </c>
      <c r="G133" s="35">
        <f>SUMIFS(WORKING!$AC$3:$AC$6802,WORKING!$A$3:$A$6802,Results!$D$3,WORKING!$B$3:$B$6802,Results!A133,WORKING!$C$3:$C$6802,Results!C133)/1000</f>
        <v>4743.8379299999997</v>
      </c>
      <c r="H133" s="35">
        <f t="shared" si="134"/>
        <v>790.63965499999995</v>
      </c>
      <c r="I133" s="187">
        <v>7</v>
      </c>
      <c r="J133" s="212">
        <v>5537</v>
      </c>
      <c r="K133" s="217">
        <f t="shared" si="135"/>
        <v>791</v>
      </c>
      <c r="L133" s="34">
        <f t="shared" si="128"/>
        <v>7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828.88873316497234</v>
      </c>
      <c r="N133" s="57">
        <v>0</v>
      </c>
      <c r="O133" s="57">
        <v>0</v>
      </c>
      <c r="P133" s="61">
        <f t="shared" si="129"/>
        <v>7</v>
      </c>
      <c r="Q133" s="40">
        <f t="shared" si="136"/>
        <v>0</v>
      </c>
      <c r="R133" s="40">
        <f t="shared" si="137"/>
        <v>0</v>
      </c>
      <c r="S133" s="44">
        <f t="shared" si="138"/>
        <v>5802.2211321548066</v>
      </c>
      <c r="T133" s="35">
        <f t="shared" si="139"/>
        <v>7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891.29512911579411</v>
      </c>
      <c r="V133" s="57">
        <v>0</v>
      </c>
      <c r="W133" s="57">
        <v>0</v>
      </c>
      <c r="X133" s="61">
        <f t="shared" si="130"/>
        <v>7</v>
      </c>
      <c r="Y133" s="40">
        <f t="shared" si="140"/>
        <v>0</v>
      </c>
      <c r="Z133" s="40">
        <f t="shared" si="141"/>
        <v>0</v>
      </c>
      <c r="AA133" s="44">
        <f t="shared" si="142"/>
        <v>6239.0659038105587</v>
      </c>
      <c r="AB133" s="35">
        <f t="shared" si="143"/>
        <v>7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957.49590368091435</v>
      </c>
      <c r="AD133" s="57">
        <v>0</v>
      </c>
      <c r="AE133" s="57">
        <v>0</v>
      </c>
      <c r="AF133" s="61">
        <f t="shared" si="131"/>
        <v>7</v>
      </c>
      <c r="AG133" s="40">
        <f t="shared" si="144"/>
        <v>0</v>
      </c>
      <c r="AH133" s="40">
        <f t="shared" si="145"/>
        <v>0</v>
      </c>
      <c r="AI133" s="44">
        <f t="shared" si="146"/>
        <v>6702.4713257664007</v>
      </c>
      <c r="AJ133" s="35">
        <f t="shared" si="132"/>
        <v>7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1026.6711147917076</v>
      </c>
      <c r="AL133" s="57">
        <v>0</v>
      </c>
      <c r="AM133" s="57">
        <v>0</v>
      </c>
      <c r="AN133" s="61">
        <f t="shared" si="133"/>
        <v>7</v>
      </c>
      <c r="AO133" s="40">
        <f t="shared" si="147"/>
        <v>0</v>
      </c>
      <c r="AP133" s="40">
        <f t="shared" si="148"/>
        <v>0</v>
      </c>
      <c r="AQ133" s="44">
        <f t="shared" si="149"/>
        <v>7186.6978035419534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1</v>
      </c>
      <c r="G134" s="35">
        <f>SUMIFS(WORKING!$AC$3:$AC$6802,WORKING!$A$3:$A$6802,Results!$D$3,WORKING!$B$3:$B$6802,Results!A134,WORKING!$C$3:$C$6802,Results!C134)/1000</f>
        <v>1842.31042</v>
      </c>
      <c r="H134" s="35">
        <f t="shared" si="134"/>
        <v>1842.31042</v>
      </c>
      <c r="I134" s="187">
        <v>1</v>
      </c>
      <c r="J134" s="212">
        <v>1842</v>
      </c>
      <c r="K134" s="217">
        <f t="shared" si="135"/>
        <v>1842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1931.326654098026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1931.326654098026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2077.9131250278515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2077.9131250278515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2233.5163357619467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2233.5163357619467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2396.23775906632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2396.23775906632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>
        <v>0</v>
      </c>
      <c r="J135" s="212">
        <v>0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>
        <v>0</v>
      </c>
      <c r="J136" s="212">
        <v>0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90</v>
      </c>
      <c r="G140" s="41">
        <f>SUM(G120:G139)</f>
        <v>45248.487670000002</v>
      </c>
      <c r="H140" s="41">
        <f>IFERROR(G140/F140,0)</f>
        <v>502.76097411111112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89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45864</v>
      </c>
      <c r="K140" s="41">
        <f>IFERROR(J140/I140,"")</f>
        <v>515.32584269662925</v>
      </c>
      <c r="L140" s="41">
        <f>SUM(L120:L139)</f>
        <v>89</v>
      </c>
      <c r="M140" s="41">
        <f>IFERROR(S140/P140,0)</f>
        <v>546.13101790202222</v>
      </c>
      <c r="N140" s="41">
        <f t="shared" ref="N140:T140" si="151">SUM(N120:N139)</f>
        <v>0</v>
      </c>
      <c r="O140" s="41">
        <f t="shared" si="151"/>
        <v>1</v>
      </c>
      <c r="P140" s="41">
        <f t="shared" si="151"/>
        <v>88</v>
      </c>
      <c r="Q140" s="41">
        <f t="shared" si="151"/>
        <v>0</v>
      </c>
      <c r="R140" s="41">
        <f t="shared" si="151"/>
        <v>-1071.3282380919768</v>
      </c>
      <c r="S140" s="45">
        <f t="shared" si="151"/>
        <v>48059.529575377957</v>
      </c>
      <c r="T140" s="41">
        <f t="shared" si="151"/>
        <v>88</v>
      </c>
      <c r="U140" s="41">
        <f>IFERROR(AA140/X140,0)</f>
        <v>590.46246355888422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88</v>
      </c>
      <c r="Y140" s="41">
        <f t="shared" si="152"/>
        <v>0</v>
      </c>
      <c r="Z140" s="41">
        <f t="shared" si="152"/>
        <v>0</v>
      </c>
      <c r="AA140" s="45">
        <f t="shared" si="152"/>
        <v>51960.696793181814</v>
      </c>
      <c r="AB140" s="41">
        <f t="shared" si="152"/>
        <v>88</v>
      </c>
      <c r="AC140" s="41">
        <f>IFERROR(AI140/AF140,0)</f>
        <v>637.80633945594127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88</v>
      </c>
      <c r="AG140" s="41">
        <f t="shared" si="153"/>
        <v>0</v>
      </c>
      <c r="AH140" s="41">
        <f t="shared" si="153"/>
        <v>0</v>
      </c>
      <c r="AI140" s="45">
        <f t="shared" si="153"/>
        <v>56126.957872122832</v>
      </c>
      <c r="AJ140" s="41">
        <f t="shared" si="153"/>
        <v>88</v>
      </c>
      <c r="AK140" s="41">
        <f>IFERROR(AQ140/AN140,0)</f>
        <v>687.6661861616052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88</v>
      </c>
      <c r="AO140" s="41">
        <f t="shared" si="154"/>
        <v>0</v>
      </c>
      <c r="AP140" s="41">
        <f t="shared" si="154"/>
        <v>0</v>
      </c>
      <c r="AQ140" s="45">
        <f t="shared" si="154"/>
        <v>60514.624382221256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50683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51228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52654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56655.704000000005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2623.4704246220426</v>
      </c>
      <c r="T142" s="39"/>
      <c r="U142" s="39"/>
      <c r="V142" s="53"/>
      <c r="W142" s="53"/>
      <c r="X142" s="110"/>
      <c r="Y142" s="39"/>
      <c r="Z142" s="39"/>
      <c r="AA142" s="54">
        <f>AA141-AA140</f>
        <v>-732.69679318181443</v>
      </c>
      <c r="AB142" s="39"/>
      <c r="AC142" s="53"/>
      <c r="AD142" s="53"/>
      <c r="AE142" s="110"/>
      <c r="AF142" s="39"/>
      <c r="AG142" s="39"/>
      <c r="AH142" s="39"/>
      <c r="AI142" s="54">
        <f>AI141-AI140</f>
        <v>-3472.9578721228318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-3858.9203822212512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Welfare Services Policy Development and Implementation Support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3</v>
      </c>
      <c r="G148" s="35">
        <f>SUMIFS(WORKING!$AC$3:$AC$6802,WORKING!$A$3:$A$6802,Results!$D$3,WORKING!$B$3:$B$6802,Results!A148,WORKING!$C$3:$C$6802,Results!C148)/1000</f>
        <v>182.31297000000001</v>
      </c>
      <c r="H148" s="35">
        <f>IFERROR(G148/F148,0)</f>
        <v>60.770990000000005</v>
      </c>
      <c r="I148" s="156">
        <v>0</v>
      </c>
      <c r="J148" s="211">
        <v>0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66.370429018599992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72.081604435650519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78.211063668836047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84.702973008667769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0</v>
      </c>
      <c r="J149" s="212">
        <v>0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0.82713000000000003</v>
      </c>
      <c r="H150" s="35">
        <f t="shared" si="161"/>
        <v>0</v>
      </c>
      <c r="I150" s="187">
        <v>0</v>
      </c>
      <c r="J150" s="212">
        <v>0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49</v>
      </c>
      <c r="G151" s="35">
        <f>SUMIFS(WORKING!$AC$3:$AC$6802,WORKING!$A$3:$A$6802,Results!$D$3,WORKING!$B$3:$B$6802,Results!A151,WORKING!$C$3:$C$6802,Results!C151)/1000</f>
        <v>7453.8858300000002</v>
      </c>
      <c r="H151" s="35">
        <f t="shared" si="161"/>
        <v>152.12011897959184</v>
      </c>
      <c r="I151" s="187">
        <v>13</v>
      </c>
      <c r="J151" s="212">
        <v>2660.6666666666665</v>
      </c>
      <c r="K151" s="217">
        <f t="shared" si="162"/>
        <v>204.66666666666666</v>
      </c>
      <c r="L151" s="34">
        <f t="shared" si="155"/>
        <v>13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223.5230571990821</v>
      </c>
      <c r="N151" s="57">
        <v>0</v>
      </c>
      <c r="O151" s="57">
        <v>0</v>
      </c>
      <c r="P151" s="61">
        <f t="shared" si="156"/>
        <v>13</v>
      </c>
      <c r="Q151" s="40">
        <f t="shared" si="163"/>
        <v>0</v>
      </c>
      <c r="R151" s="40">
        <f t="shared" si="164"/>
        <v>0</v>
      </c>
      <c r="S151" s="44">
        <f t="shared" si="165"/>
        <v>2905.7997435880675</v>
      </c>
      <c r="T151" s="35">
        <f t="shared" si="166"/>
        <v>13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242.75548280183793</v>
      </c>
      <c r="V151" s="57">
        <v>0</v>
      </c>
      <c r="W151" s="57">
        <v>0</v>
      </c>
      <c r="X151" s="61">
        <f t="shared" si="157"/>
        <v>13</v>
      </c>
      <c r="Y151" s="40">
        <f t="shared" si="167"/>
        <v>0</v>
      </c>
      <c r="Z151" s="40">
        <f t="shared" si="168"/>
        <v>0</v>
      </c>
      <c r="AA151" s="44">
        <f t="shared" si="169"/>
        <v>3155.8212764238929</v>
      </c>
      <c r="AB151" s="35">
        <f t="shared" si="170"/>
        <v>13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263.3963144205423</v>
      </c>
      <c r="AD151" s="57">
        <v>0</v>
      </c>
      <c r="AE151" s="57">
        <v>0</v>
      </c>
      <c r="AF151" s="61">
        <f t="shared" si="158"/>
        <v>13</v>
      </c>
      <c r="AG151" s="40">
        <f t="shared" si="171"/>
        <v>0</v>
      </c>
      <c r="AH151" s="40">
        <f t="shared" si="172"/>
        <v>0</v>
      </c>
      <c r="AI151" s="44">
        <f t="shared" si="173"/>
        <v>3424.15208746705</v>
      </c>
      <c r="AJ151" s="35">
        <f t="shared" si="159"/>
        <v>13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285.25748853131876</v>
      </c>
      <c r="AL151" s="57">
        <v>0</v>
      </c>
      <c r="AM151" s="57">
        <v>0</v>
      </c>
      <c r="AN151" s="61">
        <f t="shared" si="160"/>
        <v>13</v>
      </c>
      <c r="AO151" s="40">
        <f t="shared" si="174"/>
        <v>0</v>
      </c>
      <c r="AP151" s="40">
        <f t="shared" si="175"/>
        <v>0</v>
      </c>
      <c r="AQ151" s="44">
        <f t="shared" si="176"/>
        <v>3708.3473509071437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5</v>
      </c>
      <c r="G152" s="35">
        <f>SUMIFS(WORKING!$AC$3:$AC$6802,WORKING!$A$3:$A$6802,Results!$D$3,WORKING!$B$3:$B$6802,Results!A152,WORKING!$C$3:$C$6802,Results!C152)/1000</f>
        <v>566.92403999999999</v>
      </c>
      <c r="H152" s="35">
        <f t="shared" si="161"/>
        <v>113.38480799999999</v>
      </c>
      <c r="I152" s="187">
        <v>15</v>
      </c>
      <c r="J152" s="212">
        <v>3386.25</v>
      </c>
      <c r="K152" s="217">
        <f t="shared" si="162"/>
        <v>225.75</v>
      </c>
      <c r="L152" s="34">
        <f t="shared" si="155"/>
        <v>15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246.41315741838091</v>
      </c>
      <c r="N152" s="57">
        <v>0</v>
      </c>
      <c r="O152" s="57">
        <v>0</v>
      </c>
      <c r="P152" s="61">
        <f t="shared" si="156"/>
        <v>15</v>
      </c>
      <c r="Q152" s="40">
        <f t="shared" si="163"/>
        <v>0</v>
      </c>
      <c r="R152" s="40">
        <f t="shared" si="164"/>
        <v>0</v>
      </c>
      <c r="S152" s="44">
        <f t="shared" si="165"/>
        <v>3696.1973612757138</v>
      </c>
      <c r="T152" s="35">
        <f t="shared" si="166"/>
        <v>15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267.57331786570376</v>
      </c>
      <c r="V152" s="57">
        <v>0</v>
      </c>
      <c r="W152" s="57">
        <v>0</v>
      </c>
      <c r="X152" s="61">
        <f t="shared" si="157"/>
        <v>15</v>
      </c>
      <c r="Y152" s="40">
        <f t="shared" si="167"/>
        <v>0</v>
      </c>
      <c r="Z152" s="40">
        <f t="shared" si="168"/>
        <v>0</v>
      </c>
      <c r="AA152" s="44">
        <f t="shared" si="169"/>
        <v>4013.5997679855564</v>
      </c>
      <c r="AB152" s="35">
        <f t="shared" si="170"/>
        <v>15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290.27901883680642</v>
      </c>
      <c r="AD152" s="57">
        <v>0</v>
      </c>
      <c r="AE152" s="57">
        <v>0</v>
      </c>
      <c r="AF152" s="61">
        <f t="shared" si="158"/>
        <v>15</v>
      </c>
      <c r="AG152" s="40">
        <f t="shared" si="171"/>
        <v>0</v>
      </c>
      <c r="AH152" s="40">
        <f t="shared" si="172"/>
        <v>0</v>
      </c>
      <c r="AI152" s="44">
        <f t="shared" si="173"/>
        <v>4354.1852825520964</v>
      </c>
      <c r="AJ152" s="35">
        <f t="shared" si="159"/>
        <v>15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314.32231394653166</v>
      </c>
      <c r="AL152" s="57">
        <v>0</v>
      </c>
      <c r="AM152" s="57">
        <v>0</v>
      </c>
      <c r="AN152" s="61">
        <f t="shared" si="160"/>
        <v>15</v>
      </c>
      <c r="AO152" s="40">
        <f t="shared" si="174"/>
        <v>0</v>
      </c>
      <c r="AP152" s="40">
        <f t="shared" si="175"/>
        <v>0</v>
      </c>
      <c r="AQ152" s="44">
        <f t="shared" si="176"/>
        <v>4714.8347091979749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11</v>
      </c>
      <c r="G153" s="35">
        <f>SUMIFS(WORKING!$AC$3:$AC$6802,WORKING!$A$3:$A$6802,Results!$D$3,WORKING!$B$3:$B$6802,Results!A153,WORKING!$C$3:$C$6802,Results!C153)/1000</f>
        <v>2480.2919999999999</v>
      </c>
      <c r="H153" s="35">
        <f t="shared" si="161"/>
        <v>225.48109090909091</v>
      </c>
      <c r="I153" s="187">
        <v>20</v>
      </c>
      <c r="J153" s="212">
        <v>5291.1111111111113</v>
      </c>
      <c r="K153" s="217">
        <f t="shared" si="162"/>
        <v>264.55555555555554</v>
      </c>
      <c r="L153" s="34">
        <f t="shared" si="155"/>
        <v>20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288.02387682974143</v>
      </c>
      <c r="N153" s="57">
        <v>0</v>
      </c>
      <c r="O153" s="57">
        <v>1</v>
      </c>
      <c r="P153" s="61">
        <f t="shared" si="156"/>
        <v>19</v>
      </c>
      <c r="Q153" s="40">
        <f t="shared" si="163"/>
        <v>0</v>
      </c>
      <c r="R153" s="40">
        <f t="shared" si="164"/>
        <v>-288.02387682974143</v>
      </c>
      <c r="S153" s="44">
        <f t="shared" si="165"/>
        <v>5472.4536597650867</v>
      </c>
      <c r="T153" s="35">
        <f t="shared" si="166"/>
        <v>19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312.52450079003381</v>
      </c>
      <c r="V153" s="57">
        <v>0</v>
      </c>
      <c r="W153" s="57">
        <v>0</v>
      </c>
      <c r="X153" s="61">
        <f t="shared" si="157"/>
        <v>19</v>
      </c>
      <c r="Y153" s="40">
        <f t="shared" si="167"/>
        <v>0</v>
      </c>
      <c r="Z153" s="40">
        <f t="shared" si="168"/>
        <v>0</v>
      </c>
      <c r="AA153" s="44">
        <f t="shared" si="169"/>
        <v>5937.9655150106428</v>
      </c>
      <c r="AB153" s="35">
        <f t="shared" si="170"/>
        <v>19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338.79248708896483</v>
      </c>
      <c r="AD153" s="57">
        <v>0</v>
      </c>
      <c r="AE153" s="57">
        <v>0</v>
      </c>
      <c r="AF153" s="61">
        <f t="shared" si="158"/>
        <v>19</v>
      </c>
      <c r="AG153" s="40">
        <f t="shared" si="171"/>
        <v>0</v>
      </c>
      <c r="AH153" s="40">
        <f t="shared" si="172"/>
        <v>0</v>
      </c>
      <c r="AI153" s="44">
        <f t="shared" si="173"/>
        <v>6437.0572546903322</v>
      </c>
      <c r="AJ153" s="35">
        <f t="shared" si="159"/>
        <v>19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366.5815281135923</v>
      </c>
      <c r="AL153" s="57">
        <v>0</v>
      </c>
      <c r="AM153" s="57">
        <v>0</v>
      </c>
      <c r="AN153" s="61">
        <f t="shared" si="160"/>
        <v>19</v>
      </c>
      <c r="AO153" s="40">
        <f t="shared" si="174"/>
        <v>0</v>
      </c>
      <c r="AP153" s="40">
        <f t="shared" si="175"/>
        <v>0</v>
      </c>
      <c r="AQ153" s="44">
        <f t="shared" si="176"/>
        <v>6965.0490341582536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9</v>
      </c>
      <c r="G154" s="35">
        <f>SUMIFS(WORKING!$AC$3:$AC$6802,WORKING!$A$3:$A$6802,Results!$D$3,WORKING!$B$3:$B$6802,Results!A154,WORKING!$C$3:$C$6802,Results!C154)/1000</f>
        <v>2608.5677700000006</v>
      </c>
      <c r="H154" s="35">
        <f t="shared" si="161"/>
        <v>289.8408633333334</v>
      </c>
      <c r="I154" s="187">
        <v>69</v>
      </c>
      <c r="J154" s="212">
        <v>21085.692307692309</v>
      </c>
      <c r="K154" s="217">
        <f t="shared" si="162"/>
        <v>305.58974358974359</v>
      </c>
      <c r="L154" s="34">
        <f t="shared" si="155"/>
        <v>69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333.10546863744469</v>
      </c>
      <c r="N154" s="57">
        <v>0</v>
      </c>
      <c r="O154" s="57">
        <v>0</v>
      </c>
      <c r="P154" s="61">
        <f t="shared" si="156"/>
        <v>69</v>
      </c>
      <c r="Q154" s="40">
        <f t="shared" si="163"/>
        <v>0</v>
      </c>
      <c r="R154" s="40">
        <f t="shared" si="164"/>
        <v>0</v>
      </c>
      <c r="S154" s="44">
        <f t="shared" si="165"/>
        <v>22984.277335983683</v>
      </c>
      <c r="T154" s="35">
        <f t="shared" si="166"/>
        <v>69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361.56837436545317</v>
      </c>
      <c r="V154" s="57">
        <v>0</v>
      </c>
      <c r="W154" s="57">
        <v>0</v>
      </c>
      <c r="X154" s="61">
        <f t="shared" si="157"/>
        <v>69</v>
      </c>
      <c r="Y154" s="40">
        <f t="shared" si="167"/>
        <v>0</v>
      </c>
      <c r="Z154" s="40">
        <f t="shared" si="168"/>
        <v>0</v>
      </c>
      <c r="AA154" s="44">
        <f t="shared" si="169"/>
        <v>24948.217831216269</v>
      </c>
      <c r="AB154" s="35">
        <f t="shared" si="170"/>
        <v>69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392.09667204797745</v>
      </c>
      <c r="AD154" s="57">
        <v>0</v>
      </c>
      <c r="AE154" s="57">
        <v>0</v>
      </c>
      <c r="AF154" s="61">
        <f t="shared" si="158"/>
        <v>69</v>
      </c>
      <c r="AG154" s="40">
        <f t="shared" si="171"/>
        <v>0</v>
      </c>
      <c r="AH154" s="40">
        <f t="shared" si="172"/>
        <v>0</v>
      </c>
      <c r="AI154" s="44">
        <f t="shared" si="173"/>
        <v>27054.670371310443</v>
      </c>
      <c r="AJ154" s="35">
        <f t="shared" si="159"/>
        <v>69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424.4072818235818</v>
      </c>
      <c r="AL154" s="57">
        <v>0</v>
      </c>
      <c r="AM154" s="57">
        <v>0</v>
      </c>
      <c r="AN154" s="61">
        <f t="shared" si="160"/>
        <v>69</v>
      </c>
      <c r="AO154" s="40">
        <f t="shared" si="174"/>
        <v>0</v>
      </c>
      <c r="AP154" s="40">
        <f t="shared" si="175"/>
        <v>0</v>
      </c>
      <c r="AQ154" s="44">
        <f t="shared" si="176"/>
        <v>29284.102445827142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6</v>
      </c>
      <c r="G155" s="35">
        <f>SUMIFS(WORKING!$AC$3:$AC$6802,WORKING!$A$3:$A$6802,Results!$D$3,WORKING!$B$3:$B$6802,Results!A155,WORKING!$C$3:$C$6802,Results!C155)/1000</f>
        <v>2081.0614099999998</v>
      </c>
      <c r="H155" s="35">
        <f t="shared" si="161"/>
        <v>346.84356833333328</v>
      </c>
      <c r="I155" s="187">
        <v>5</v>
      </c>
      <c r="J155" s="212">
        <v>1766.5</v>
      </c>
      <c r="K155" s="217">
        <f t="shared" si="162"/>
        <v>353.3</v>
      </c>
      <c r="L155" s="34">
        <f t="shared" si="155"/>
        <v>5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384.92810718914035</v>
      </c>
      <c r="N155" s="57">
        <v>0</v>
      </c>
      <c r="O155" s="57">
        <v>0</v>
      </c>
      <c r="P155" s="61">
        <f t="shared" si="156"/>
        <v>5</v>
      </c>
      <c r="Q155" s="40">
        <f t="shared" si="163"/>
        <v>0</v>
      </c>
      <c r="R155" s="40">
        <f t="shared" si="164"/>
        <v>0</v>
      </c>
      <c r="S155" s="44">
        <f t="shared" si="165"/>
        <v>1924.6405359457017</v>
      </c>
      <c r="T155" s="35">
        <f t="shared" si="166"/>
        <v>5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417.76434535107575</v>
      </c>
      <c r="V155" s="57">
        <v>0</v>
      </c>
      <c r="W155" s="57">
        <v>0</v>
      </c>
      <c r="X155" s="61">
        <f t="shared" si="157"/>
        <v>5</v>
      </c>
      <c r="Y155" s="40">
        <f t="shared" si="167"/>
        <v>0</v>
      </c>
      <c r="Z155" s="40">
        <f t="shared" si="168"/>
        <v>0</v>
      </c>
      <c r="AA155" s="44">
        <f t="shared" si="169"/>
        <v>2088.8217267553787</v>
      </c>
      <c r="AB155" s="35">
        <f t="shared" si="170"/>
        <v>5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452.9779723193534</v>
      </c>
      <c r="AD155" s="57">
        <v>0</v>
      </c>
      <c r="AE155" s="57">
        <v>0</v>
      </c>
      <c r="AF155" s="61">
        <f t="shared" si="158"/>
        <v>5</v>
      </c>
      <c r="AG155" s="40">
        <f t="shared" si="171"/>
        <v>0</v>
      </c>
      <c r="AH155" s="40">
        <f t="shared" si="172"/>
        <v>0</v>
      </c>
      <c r="AI155" s="44">
        <f t="shared" si="173"/>
        <v>2264.8898615967669</v>
      </c>
      <c r="AJ155" s="35">
        <f t="shared" si="159"/>
        <v>5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490.24094671345688</v>
      </c>
      <c r="AL155" s="57">
        <v>0</v>
      </c>
      <c r="AM155" s="57">
        <v>0</v>
      </c>
      <c r="AN155" s="61">
        <f t="shared" si="160"/>
        <v>5</v>
      </c>
      <c r="AO155" s="40">
        <f t="shared" si="174"/>
        <v>0</v>
      </c>
      <c r="AP155" s="40">
        <f t="shared" si="175"/>
        <v>0</v>
      </c>
      <c r="AQ155" s="44">
        <f t="shared" si="176"/>
        <v>2451.2047335672842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8</v>
      </c>
      <c r="G156" s="35">
        <f>SUMIFS(WORKING!$AC$3:$AC$6802,WORKING!$A$3:$A$6802,Results!$D$3,WORKING!$B$3:$B$6802,Results!A156,WORKING!$C$3:$C$6802,Results!C156)/1000</f>
        <v>4833.2273099999993</v>
      </c>
      <c r="H156" s="35">
        <f t="shared" si="161"/>
        <v>604.15341374999991</v>
      </c>
      <c r="I156" s="187">
        <v>21</v>
      </c>
      <c r="J156" s="212">
        <v>8738</v>
      </c>
      <c r="K156" s="217">
        <f t="shared" si="162"/>
        <v>416.09523809523807</v>
      </c>
      <c r="L156" s="34">
        <f t="shared" si="155"/>
        <v>21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453.53852157394607</v>
      </c>
      <c r="N156" s="57">
        <v>0</v>
      </c>
      <c r="O156" s="57">
        <v>3</v>
      </c>
      <c r="P156" s="61">
        <f t="shared" si="156"/>
        <v>18</v>
      </c>
      <c r="Q156" s="40">
        <f t="shared" si="163"/>
        <v>0</v>
      </c>
      <c r="R156" s="40">
        <f t="shared" si="164"/>
        <v>-1360.6155647218382</v>
      </c>
      <c r="S156" s="44">
        <f t="shared" si="165"/>
        <v>8163.6933883310294</v>
      </c>
      <c r="T156" s="35">
        <f t="shared" si="166"/>
        <v>18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492.28406297979194</v>
      </c>
      <c r="V156" s="57">
        <v>0</v>
      </c>
      <c r="W156" s="57">
        <v>0</v>
      </c>
      <c r="X156" s="61">
        <f t="shared" si="157"/>
        <v>18</v>
      </c>
      <c r="Y156" s="40">
        <f t="shared" si="167"/>
        <v>0</v>
      </c>
      <c r="Z156" s="40">
        <f t="shared" si="168"/>
        <v>0</v>
      </c>
      <c r="AA156" s="44">
        <f t="shared" si="169"/>
        <v>8861.1131336362541</v>
      </c>
      <c r="AB156" s="35">
        <f t="shared" si="170"/>
        <v>18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533.84045394447367</v>
      </c>
      <c r="AD156" s="57">
        <v>0</v>
      </c>
      <c r="AE156" s="57">
        <v>0</v>
      </c>
      <c r="AF156" s="61">
        <f t="shared" si="158"/>
        <v>18</v>
      </c>
      <c r="AG156" s="40">
        <f t="shared" si="171"/>
        <v>0</v>
      </c>
      <c r="AH156" s="40">
        <f t="shared" si="172"/>
        <v>0</v>
      </c>
      <c r="AI156" s="44">
        <f t="shared" si="173"/>
        <v>9609.128171000526</v>
      </c>
      <c r="AJ156" s="35">
        <f t="shared" si="159"/>
        <v>18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577.8222529103806</v>
      </c>
      <c r="AL156" s="57">
        <v>0</v>
      </c>
      <c r="AM156" s="57">
        <v>0</v>
      </c>
      <c r="AN156" s="61">
        <f t="shared" si="160"/>
        <v>18</v>
      </c>
      <c r="AO156" s="40">
        <f t="shared" si="174"/>
        <v>0</v>
      </c>
      <c r="AP156" s="40">
        <f t="shared" si="175"/>
        <v>0</v>
      </c>
      <c r="AQ156" s="44">
        <f t="shared" si="176"/>
        <v>10400.800552386851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4</v>
      </c>
      <c r="G157" s="35">
        <f>SUMIFS(WORKING!$AC$3:$AC$6802,WORKING!$A$3:$A$6802,Results!$D$3,WORKING!$B$3:$B$6802,Results!A157,WORKING!$C$3:$C$6802,Results!C157)/1000</f>
        <v>2513.0889300000003</v>
      </c>
      <c r="H157" s="35">
        <f t="shared" si="161"/>
        <v>628.27223250000009</v>
      </c>
      <c r="I157" s="187">
        <v>12</v>
      </c>
      <c r="J157" s="212">
        <v>6679.2000000000007</v>
      </c>
      <c r="K157" s="217">
        <f t="shared" si="162"/>
        <v>556.6</v>
      </c>
      <c r="L157" s="34">
        <f t="shared" si="155"/>
        <v>12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606.92507740393921</v>
      </c>
      <c r="N157" s="57">
        <v>0</v>
      </c>
      <c r="O157" s="57">
        <v>0</v>
      </c>
      <c r="P157" s="61">
        <f t="shared" si="156"/>
        <v>12</v>
      </c>
      <c r="Q157" s="40">
        <f t="shared" si="163"/>
        <v>0</v>
      </c>
      <c r="R157" s="40">
        <f t="shared" si="164"/>
        <v>0</v>
      </c>
      <c r="S157" s="44">
        <f t="shared" si="165"/>
        <v>7283.1009288472706</v>
      </c>
      <c r="T157" s="35">
        <f t="shared" si="166"/>
        <v>12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658.85106832055476</v>
      </c>
      <c r="V157" s="57">
        <v>0</v>
      </c>
      <c r="W157" s="57">
        <v>0</v>
      </c>
      <c r="X157" s="61">
        <f t="shared" si="157"/>
        <v>12</v>
      </c>
      <c r="Y157" s="40">
        <f t="shared" si="167"/>
        <v>0</v>
      </c>
      <c r="Z157" s="40">
        <f t="shared" si="168"/>
        <v>0</v>
      </c>
      <c r="AA157" s="44">
        <f t="shared" si="169"/>
        <v>7906.2128198466571</v>
      </c>
      <c r="AB157" s="35">
        <f t="shared" si="170"/>
        <v>12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714.55134747399018</v>
      </c>
      <c r="AD157" s="57">
        <v>0</v>
      </c>
      <c r="AE157" s="57">
        <v>0</v>
      </c>
      <c r="AF157" s="61">
        <f t="shared" si="158"/>
        <v>12</v>
      </c>
      <c r="AG157" s="40">
        <f t="shared" si="171"/>
        <v>0</v>
      </c>
      <c r="AH157" s="40">
        <f t="shared" si="172"/>
        <v>0</v>
      </c>
      <c r="AI157" s="44">
        <f t="shared" si="173"/>
        <v>8574.6161696878826</v>
      </c>
      <c r="AJ157" s="35">
        <f t="shared" si="159"/>
        <v>12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773.51104997156745</v>
      </c>
      <c r="AL157" s="57">
        <v>0</v>
      </c>
      <c r="AM157" s="57">
        <v>0</v>
      </c>
      <c r="AN157" s="61">
        <f t="shared" si="160"/>
        <v>12</v>
      </c>
      <c r="AO157" s="40">
        <f t="shared" si="174"/>
        <v>0</v>
      </c>
      <c r="AP157" s="40">
        <f t="shared" si="175"/>
        <v>0</v>
      </c>
      <c r="AQ157" s="44">
        <f t="shared" si="176"/>
        <v>9282.1325996588093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25</v>
      </c>
      <c r="G158" s="35">
        <f>SUMIFS(WORKING!$AC$3:$AC$6802,WORKING!$A$3:$A$6802,Results!$D$3,WORKING!$B$3:$B$6802,Results!A158,WORKING!$C$3:$C$6802,Results!C158)/1000</f>
        <v>16388.901789999996</v>
      </c>
      <c r="H158" s="35">
        <f t="shared" si="161"/>
        <v>655.55607159999988</v>
      </c>
      <c r="I158" s="187">
        <v>5</v>
      </c>
      <c r="J158" s="212">
        <v>3022.7777777777778</v>
      </c>
      <c r="K158" s="217">
        <f t="shared" si="162"/>
        <v>604.55555555555554</v>
      </c>
      <c r="L158" s="34">
        <f t="shared" si="155"/>
        <v>5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660.04106102856133</v>
      </c>
      <c r="N158" s="57">
        <v>0</v>
      </c>
      <c r="O158" s="57">
        <v>0</v>
      </c>
      <c r="P158" s="61">
        <f t="shared" si="156"/>
        <v>5</v>
      </c>
      <c r="Q158" s="40">
        <f t="shared" si="163"/>
        <v>0</v>
      </c>
      <c r="R158" s="40">
        <f t="shared" si="164"/>
        <v>0</v>
      </c>
      <c r="S158" s="44">
        <f t="shared" si="165"/>
        <v>3300.2053051428065</v>
      </c>
      <c r="T158" s="35">
        <f t="shared" si="166"/>
        <v>5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716.60064941438679</v>
      </c>
      <c r="V158" s="57">
        <v>0</v>
      </c>
      <c r="W158" s="57">
        <v>0</v>
      </c>
      <c r="X158" s="61">
        <f t="shared" si="157"/>
        <v>5</v>
      </c>
      <c r="Y158" s="40">
        <f t="shared" si="167"/>
        <v>0</v>
      </c>
      <c r="Z158" s="40">
        <f t="shared" si="168"/>
        <v>0</v>
      </c>
      <c r="AA158" s="44">
        <f t="shared" si="169"/>
        <v>3583.0032470719339</v>
      </c>
      <c r="AB158" s="35">
        <f t="shared" si="170"/>
        <v>5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777.27977709095444</v>
      </c>
      <c r="AD158" s="57">
        <v>0</v>
      </c>
      <c r="AE158" s="57">
        <v>0</v>
      </c>
      <c r="AF158" s="61">
        <f t="shared" si="158"/>
        <v>5</v>
      </c>
      <c r="AG158" s="40">
        <f t="shared" si="171"/>
        <v>0</v>
      </c>
      <c r="AH158" s="40">
        <f t="shared" si="172"/>
        <v>0</v>
      </c>
      <c r="AI158" s="44">
        <f t="shared" si="173"/>
        <v>3886.3988854547724</v>
      </c>
      <c r="AJ158" s="35">
        <f t="shared" si="159"/>
        <v>5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841.51963545117496</v>
      </c>
      <c r="AL158" s="57">
        <v>0</v>
      </c>
      <c r="AM158" s="57">
        <v>0</v>
      </c>
      <c r="AN158" s="61">
        <f t="shared" si="160"/>
        <v>5</v>
      </c>
      <c r="AO158" s="40">
        <f t="shared" si="174"/>
        <v>0</v>
      </c>
      <c r="AP158" s="40">
        <f t="shared" si="175"/>
        <v>0</v>
      </c>
      <c r="AQ158" s="44">
        <f t="shared" si="176"/>
        <v>4207.5981772558753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4</v>
      </c>
      <c r="G159" s="35">
        <f>SUMIFS(WORKING!$AC$3:$AC$6802,WORKING!$A$3:$A$6802,Results!$D$3,WORKING!$B$3:$B$6802,Results!A159,WORKING!$C$3:$C$6802,Results!C159)/1000</f>
        <v>3157.2341999999999</v>
      </c>
      <c r="H159" s="35">
        <f t="shared" si="161"/>
        <v>789.30854999999997</v>
      </c>
      <c r="I159" s="187">
        <v>51</v>
      </c>
      <c r="J159" s="212">
        <v>36622.811320754721</v>
      </c>
      <c r="K159" s="217">
        <f t="shared" si="162"/>
        <v>718.09433962264154</v>
      </c>
      <c r="L159" s="34">
        <f t="shared" si="155"/>
        <v>51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783.90048013017304</v>
      </c>
      <c r="N159" s="57">
        <v>0</v>
      </c>
      <c r="O159" s="57">
        <v>0</v>
      </c>
      <c r="P159" s="61">
        <f t="shared" si="156"/>
        <v>51</v>
      </c>
      <c r="Q159" s="40">
        <f t="shared" si="163"/>
        <v>0</v>
      </c>
      <c r="R159" s="40">
        <f t="shared" si="164"/>
        <v>0</v>
      </c>
      <c r="S159" s="44">
        <f t="shared" si="165"/>
        <v>39978.924486638825</v>
      </c>
      <c r="T159" s="35">
        <f t="shared" si="166"/>
        <v>51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850.96532490634502</v>
      </c>
      <c r="V159" s="57">
        <v>0</v>
      </c>
      <c r="W159" s="57">
        <v>0</v>
      </c>
      <c r="X159" s="61">
        <f t="shared" si="157"/>
        <v>51</v>
      </c>
      <c r="Y159" s="40">
        <f t="shared" si="167"/>
        <v>0</v>
      </c>
      <c r="Z159" s="40">
        <f t="shared" si="168"/>
        <v>0</v>
      </c>
      <c r="AA159" s="44">
        <f t="shared" si="169"/>
        <v>43399.231570223594</v>
      </c>
      <c r="AB159" s="35">
        <f t="shared" si="170"/>
        <v>51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922.90441748842636</v>
      </c>
      <c r="AD159" s="57">
        <v>0</v>
      </c>
      <c r="AE159" s="57">
        <v>0</v>
      </c>
      <c r="AF159" s="61">
        <f t="shared" si="158"/>
        <v>51</v>
      </c>
      <c r="AG159" s="40">
        <f t="shared" si="171"/>
        <v>0</v>
      </c>
      <c r="AH159" s="40">
        <f t="shared" si="172"/>
        <v>0</v>
      </c>
      <c r="AI159" s="44">
        <f t="shared" si="173"/>
        <v>47068.125291909746</v>
      </c>
      <c r="AJ159" s="35">
        <f t="shared" si="159"/>
        <v>51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999.05247460822739</v>
      </c>
      <c r="AL159" s="57">
        <v>0</v>
      </c>
      <c r="AM159" s="57">
        <v>0</v>
      </c>
      <c r="AN159" s="61">
        <f t="shared" si="160"/>
        <v>51</v>
      </c>
      <c r="AO159" s="40">
        <f t="shared" si="174"/>
        <v>0</v>
      </c>
      <c r="AP159" s="40">
        <f t="shared" si="175"/>
        <v>0</v>
      </c>
      <c r="AQ159" s="44">
        <f t="shared" si="176"/>
        <v>50951.676205019598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10</v>
      </c>
      <c r="G160" s="35">
        <f>SUMIFS(WORKING!$AC$3:$AC$6802,WORKING!$A$3:$A$6802,Results!$D$3,WORKING!$B$3:$B$6802,Results!A160,WORKING!$C$3:$C$6802,Results!C160)/1000</f>
        <v>10766.991860000002</v>
      </c>
      <c r="H160" s="35">
        <f t="shared" si="161"/>
        <v>1076.6991860000003</v>
      </c>
      <c r="I160" s="187">
        <v>15</v>
      </c>
      <c r="J160" s="212">
        <v>13373.25</v>
      </c>
      <c r="K160" s="217">
        <f t="shared" si="162"/>
        <v>891.55</v>
      </c>
      <c r="L160" s="34">
        <f t="shared" si="155"/>
        <v>15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934.3030534702981</v>
      </c>
      <c r="N160" s="57">
        <v>1</v>
      </c>
      <c r="O160" s="57">
        <v>1</v>
      </c>
      <c r="P160" s="61">
        <f t="shared" si="156"/>
        <v>15</v>
      </c>
      <c r="Q160" s="40">
        <f t="shared" si="163"/>
        <v>934.3030534702981</v>
      </c>
      <c r="R160" s="40">
        <f t="shared" si="164"/>
        <v>-934.3030534702981</v>
      </c>
      <c r="S160" s="44">
        <f t="shared" si="165"/>
        <v>14014.545802054472</v>
      </c>
      <c r="T160" s="35">
        <f t="shared" si="166"/>
        <v>15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1004.6976254004896</v>
      </c>
      <c r="V160" s="57">
        <v>0</v>
      </c>
      <c r="W160" s="57">
        <v>0</v>
      </c>
      <c r="X160" s="61">
        <f t="shared" si="157"/>
        <v>15</v>
      </c>
      <c r="Y160" s="40">
        <f t="shared" si="167"/>
        <v>0</v>
      </c>
      <c r="Z160" s="40">
        <f t="shared" si="168"/>
        <v>0</v>
      </c>
      <c r="AA160" s="44">
        <f t="shared" si="169"/>
        <v>15070.464381007345</v>
      </c>
      <c r="AB160" s="35">
        <f t="shared" si="170"/>
        <v>15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1079.3767977643722</v>
      </c>
      <c r="AD160" s="57">
        <v>0</v>
      </c>
      <c r="AE160" s="57">
        <v>0</v>
      </c>
      <c r="AF160" s="61">
        <f t="shared" si="158"/>
        <v>15</v>
      </c>
      <c r="AG160" s="40">
        <f t="shared" si="171"/>
        <v>0</v>
      </c>
      <c r="AH160" s="40">
        <f t="shared" si="172"/>
        <v>0</v>
      </c>
      <c r="AI160" s="44">
        <f t="shared" si="173"/>
        <v>16190.651966465583</v>
      </c>
      <c r="AJ160" s="35">
        <f t="shared" si="159"/>
        <v>15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1157.4168693145614</v>
      </c>
      <c r="AL160" s="57">
        <v>0</v>
      </c>
      <c r="AM160" s="57">
        <v>0</v>
      </c>
      <c r="AN160" s="61">
        <f t="shared" si="160"/>
        <v>15</v>
      </c>
      <c r="AO160" s="40">
        <f t="shared" si="174"/>
        <v>0</v>
      </c>
      <c r="AP160" s="40">
        <f t="shared" si="175"/>
        <v>0</v>
      </c>
      <c r="AQ160" s="44">
        <f t="shared" si="176"/>
        <v>17361.25303971842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5</v>
      </c>
      <c r="G161" s="35">
        <f>SUMIFS(WORKING!$AC$3:$AC$6802,WORKING!$A$3:$A$6802,Results!$D$3,WORKING!$B$3:$B$6802,Results!A161,WORKING!$C$3:$C$6802,Results!C161)/1000</f>
        <v>4876.6313300000002</v>
      </c>
      <c r="H161" s="35">
        <f t="shared" si="161"/>
        <v>975.32626600000003</v>
      </c>
      <c r="I161" s="187">
        <v>5</v>
      </c>
      <c r="J161" s="212">
        <v>5174</v>
      </c>
      <c r="K161" s="217">
        <f t="shared" si="162"/>
        <v>1034.8</v>
      </c>
      <c r="L161" s="34">
        <f t="shared" si="155"/>
        <v>5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1084.7362129692624</v>
      </c>
      <c r="N161" s="57">
        <v>1</v>
      </c>
      <c r="O161" s="57">
        <v>0</v>
      </c>
      <c r="P161" s="61">
        <f t="shared" si="156"/>
        <v>6</v>
      </c>
      <c r="Q161" s="40">
        <f t="shared" si="163"/>
        <v>1084.7362129692624</v>
      </c>
      <c r="R161" s="40">
        <f t="shared" si="164"/>
        <v>0</v>
      </c>
      <c r="S161" s="44">
        <f t="shared" si="165"/>
        <v>6508.4172778155744</v>
      </c>
      <c r="T161" s="35">
        <f t="shared" si="166"/>
        <v>6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1166.8026359649455</v>
      </c>
      <c r="V161" s="57">
        <v>0</v>
      </c>
      <c r="W161" s="57">
        <v>0</v>
      </c>
      <c r="X161" s="61">
        <f t="shared" si="157"/>
        <v>6</v>
      </c>
      <c r="Y161" s="40">
        <f t="shared" si="167"/>
        <v>0</v>
      </c>
      <c r="Z161" s="40">
        <f t="shared" si="168"/>
        <v>0</v>
      </c>
      <c r="AA161" s="44">
        <f t="shared" si="169"/>
        <v>7000.8158157896723</v>
      </c>
      <c r="AB161" s="35">
        <f t="shared" si="170"/>
        <v>6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1253.8938118095307</v>
      </c>
      <c r="AD161" s="57">
        <v>0</v>
      </c>
      <c r="AE161" s="57">
        <v>0</v>
      </c>
      <c r="AF161" s="61">
        <f t="shared" si="158"/>
        <v>6</v>
      </c>
      <c r="AG161" s="40">
        <f t="shared" si="171"/>
        <v>0</v>
      </c>
      <c r="AH161" s="40">
        <f t="shared" si="172"/>
        <v>0</v>
      </c>
      <c r="AI161" s="44">
        <f t="shared" si="173"/>
        <v>7523.3628708571841</v>
      </c>
      <c r="AJ161" s="35">
        <f t="shared" si="159"/>
        <v>6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1344.9407233375077</v>
      </c>
      <c r="AL161" s="57">
        <v>0</v>
      </c>
      <c r="AM161" s="57">
        <v>0</v>
      </c>
      <c r="AN161" s="61">
        <f t="shared" si="160"/>
        <v>6</v>
      </c>
      <c r="AO161" s="40">
        <f t="shared" si="174"/>
        <v>0</v>
      </c>
      <c r="AP161" s="40">
        <f t="shared" si="175"/>
        <v>0</v>
      </c>
      <c r="AQ161" s="44">
        <f t="shared" si="176"/>
        <v>8069.6443400250464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2</v>
      </c>
      <c r="G162" s="35">
        <f>SUMIFS(WORKING!$AC$3:$AC$6802,WORKING!$A$3:$A$6802,Results!$D$3,WORKING!$B$3:$B$6802,Results!A162,WORKING!$C$3:$C$6802,Results!C162)/1000</f>
        <v>2613.5692599999998</v>
      </c>
      <c r="H162" s="35">
        <f t="shared" si="161"/>
        <v>1306.7846299999999</v>
      </c>
      <c r="I162" s="187">
        <v>2</v>
      </c>
      <c r="J162" s="212">
        <v>2746</v>
      </c>
      <c r="K162" s="217">
        <f t="shared" si="162"/>
        <v>1373</v>
      </c>
      <c r="L162" s="34">
        <f t="shared" si="155"/>
        <v>2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1439.4217563714701</v>
      </c>
      <c r="N162" s="57">
        <v>0</v>
      </c>
      <c r="O162" s="57">
        <v>0</v>
      </c>
      <c r="P162" s="61">
        <f t="shared" si="156"/>
        <v>2</v>
      </c>
      <c r="Q162" s="40">
        <f t="shared" si="163"/>
        <v>0</v>
      </c>
      <c r="R162" s="40">
        <f t="shared" si="164"/>
        <v>0</v>
      </c>
      <c r="S162" s="44">
        <f t="shared" si="165"/>
        <v>2878.8435127429402</v>
      </c>
      <c r="T162" s="35">
        <f t="shared" si="166"/>
        <v>2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1548.4997220481991</v>
      </c>
      <c r="V162" s="57">
        <v>0</v>
      </c>
      <c r="W162" s="57">
        <v>0</v>
      </c>
      <c r="X162" s="61">
        <f t="shared" si="157"/>
        <v>2</v>
      </c>
      <c r="Y162" s="40">
        <f t="shared" si="167"/>
        <v>0</v>
      </c>
      <c r="Z162" s="40">
        <f t="shared" si="168"/>
        <v>0</v>
      </c>
      <c r="AA162" s="44">
        <f t="shared" si="169"/>
        <v>3096.9994440963983</v>
      </c>
      <c r="AB162" s="35">
        <f t="shared" si="170"/>
        <v>2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1664.2719582550642</v>
      </c>
      <c r="AD162" s="57">
        <v>0</v>
      </c>
      <c r="AE162" s="57">
        <v>0</v>
      </c>
      <c r="AF162" s="61">
        <f t="shared" si="158"/>
        <v>2</v>
      </c>
      <c r="AG162" s="40">
        <f t="shared" si="171"/>
        <v>0</v>
      </c>
      <c r="AH162" s="40">
        <f t="shared" si="172"/>
        <v>0</v>
      </c>
      <c r="AI162" s="44">
        <f t="shared" si="173"/>
        <v>3328.5439165101284</v>
      </c>
      <c r="AJ162" s="35">
        <f t="shared" si="159"/>
        <v>2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1785.3217129338345</v>
      </c>
      <c r="AL162" s="57">
        <v>0</v>
      </c>
      <c r="AM162" s="57">
        <v>0</v>
      </c>
      <c r="AN162" s="61">
        <f t="shared" si="160"/>
        <v>2</v>
      </c>
      <c r="AO162" s="40">
        <f t="shared" si="174"/>
        <v>0</v>
      </c>
      <c r="AP162" s="40">
        <f t="shared" si="175"/>
        <v>0</v>
      </c>
      <c r="AQ162" s="44">
        <f t="shared" si="176"/>
        <v>3570.6434258676691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>
        <v>0</v>
      </c>
      <c r="J163" s="212">
        <v>0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>
        <v>0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141</v>
      </c>
      <c r="G168" s="41">
        <f>SUM(G148:G167)</f>
        <v>60523.515829999997</v>
      </c>
      <c r="H168" s="41">
        <f>IFERROR(G168/F168,0)</f>
        <v>429.24479312056735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233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110546.25918400259</v>
      </c>
      <c r="K168" s="41">
        <f>IFERROR(J168/I168,"")</f>
        <v>474.44746430902399</v>
      </c>
      <c r="L168" s="41">
        <f>SUM(L148:L167)</f>
        <v>233</v>
      </c>
      <c r="M168" s="41">
        <f>IFERROR(S168/P168,0)</f>
        <v>517.87434494839636</v>
      </c>
      <c r="N168" s="41">
        <f t="shared" ref="N168:T168" si="177">SUM(N148:N167)</f>
        <v>2</v>
      </c>
      <c r="O168" s="41">
        <f t="shared" si="177"/>
        <v>5</v>
      </c>
      <c r="P168" s="41">
        <f t="shared" si="177"/>
        <v>230</v>
      </c>
      <c r="Q168" s="41">
        <f t="shared" si="177"/>
        <v>2019.0392664395604</v>
      </c>
      <c r="R168" s="41">
        <f t="shared" si="177"/>
        <v>-2582.9424950218777</v>
      </c>
      <c r="S168" s="45">
        <f t="shared" si="177"/>
        <v>119111.09933813117</v>
      </c>
      <c r="T168" s="41">
        <f t="shared" si="177"/>
        <v>230</v>
      </c>
      <c r="U168" s="41">
        <f>IFERROR(AA168/X168,0)</f>
        <v>561.14028925679827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230</v>
      </c>
      <c r="Y168" s="41">
        <f t="shared" si="178"/>
        <v>0</v>
      </c>
      <c r="Z168" s="41">
        <f t="shared" si="178"/>
        <v>0</v>
      </c>
      <c r="AA168" s="45">
        <f t="shared" si="178"/>
        <v>129062.26652906359</v>
      </c>
      <c r="AB168" s="41">
        <f t="shared" si="178"/>
        <v>230</v>
      </c>
      <c r="AC168" s="41">
        <f>IFERROR(AI168/AF168,0)</f>
        <v>607.45992230218485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230</v>
      </c>
      <c r="AG168" s="41">
        <f t="shared" si="179"/>
        <v>0</v>
      </c>
      <c r="AH168" s="41">
        <f t="shared" si="179"/>
        <v>0</v>
      </c>
      <c r="AI168" s="45">
        <f t="shared" si="179"/>
        <v>139715.78212950251</v>
      </c>
      <c r="AJ168" s="41">
        <f t="shared" si="179"/>
        <v>230</v>
      </c>
      <c r="AK168" s="41">
        <f>IFERROR(AQ168/AN168,0)</f>
        <v>656.37950701560897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230</v>
      </c>
      <c r="AO168" s="41">
        <f t="shared" si="180"/>
        <v>0</v>
      </c>
      <c r="AP168" s="41">
        <f t="shared" si="180"/>
        <v>0</v>
      </c>
      <c r="AQ168" s="45">
        <f t="shared" si="180"/>
        <v>150967.28661359005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137075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138650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142616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153454.81600000002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17963.900661868829</v>
      </c>
      <c r="T170" s="39"/>
      <c r="U170" s="39"/>
      <c r="V170" s="53"/>
      <c r="W170" s="53"/>
      <c r="X170" s="110"/>
      <c r="Y170" s="39"/>
      <c r="Z170" s="39"/>
      <c r="AA170" s="54">
        <f>AA169-AA168</f>
        <v>9587.7334709364077</v>
      </c>
      <c r="AB170" s="39"/>
      <c r="AC170" s="53"/>
      <c r="AD170" s="53"/>
      <c r="AE170" s="110"/>
      <c r="AF170" s="39"/>
      <c r="AG170" s="39"/>
      <c r="AH170" s="39"/>
      <c r="AI170" s="54">
        <f>AI169-AI168</f>
        <v>2900.217870497494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2487.5293864099658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Social Policy and Integrated Service Delivery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6</v>
      </c>
      <c r="G176" s="35">
        <f>SUMIFS(WORKING!$AC$3:$AC$6802,WORKING!$A$3:$A$6802,Results!$D$3,WORKING!$B$3:$B$6802,Results!A176,WORKING!$C$3:$C$6802,Results!C176)/1000</f>
        <v>401.86271999999997</v>
      </c>
      <c r="H176" s="35">
        <f>IFERROR(G176/F176,0)</f>
        <v>66.977119999999999</v>
      </c>
      <c r="I176" s="156">
        <v>0</v>
      </c>
      <c r="J176" s="211">
        <v>0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73.148391836800002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79.442810954356645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86.198230383860349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93.353114496872664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>
        <v>0</v>
      </c>
      <c r="J177" s="212">
        <v>0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>
        <v>0</v>
      </c>
      <c r="J178" s="212">
        <v>0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13</v>
      </c>
      <c r="G179" s="35">
        <f>SUMIFS(WORKING!$AC$3:$AC$6802,WORKING!$A$3:$A$6802,Results!$D$3,WORKING!$B$3:$B$6802,Results!A179,WORKING!$C$3:$C$6802,Results!C179)/1000</f>
        <v>953.01098000000002</v>
      </c>
      <c r="H179" s="35">
        <f t="shared" si="187"/>
        <v>73.308536923076929</v>
      </c>
      <c r="I179" s="187">
        <v>9</v>
      </c>
      <c r="J179" s="212">
        <v>0</v>
      </c>
      <c r="K179" s="217">
        <f t="shared" si="188"/>
        <v>0</v>
      </c>
      <c r="L179" s="34">
        <f t="shared" si="181"/>
        <v>9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9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9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9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9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9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9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9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15</v>
      </c>
      <c r="G180" s="35">
        <f>SUMIFS(WORKING!$AC$3:$AC$6802,WORKING!$A$3:$A$6802,Results!$D$3,WORKING!$B$3:$B$6802,Results!A180,WORKING!$C$3:$C$6802,Results!C180)/1000</f>
        <v>1411.6433699999998</v>
      </c>
      <c r="H180" s="35">
        <f t="shared" si="187"/>
        <v>94.109557999999979</v>
      </c>
      <c r="I180" s="187">
        <v>9</v>
      </c>
      <c r="J180" s="212">
        <v>1917</v>
      </c>
      <c r="K180" s="217">
        <f t="shared" si="188"/>
        <v>213</v>
      </c>
      <c r="L180" s="34">
        <f t="shared" si="181"/>
        <v>9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231.76035542366259</v>
      </c>
      <c r="N180" s="57">
        <v>0</v>
      </c>
      <c r="O180" s="57">
        <v>5</v>
      </c>
      <c r="P180" s="61">
        <f t="shared" si="182"/>
        <v>4</v>
      </c>
      <c r="Q180" s="40">
        <f t="shared" si="189"/>
        <v>0</v>
      </c>
      <c r="R180" s="40">
        <f t="shared" si="190"/>
        <v>-1158.8017771183129</v>
      </c>
      <c r="S180" s="44">
        <f t="shared" si="191"/>
        <v>927.04142169465035</v>
      </c>
      <c r="T180" s="35">
        <f t="shared" si="192"/>
        <v>4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251.43495335737825</v>
      </c>
      <c r="V180" s="57">
        <v>0</v>
      </c>
      <c r="W180" s="57">
        <v>0</v>
      </c>
      <c r="X180" s="61">
        <f t="shared" si="183"/>
        <v>4</v>
      </c>
      <c r="Y180" s="40">
        <f t="shared" si="193"/>
        <v>0</v>
      </c>
      <c r="Z180" s="40">
        <f t="shared" si="194"/>
        <v>0</v>
      </c>
      <c r="AA180" s="44">
        <f t="shared" si="195"/>
        <v>1005.739813429513</v>
      </c>
      <c r="AB180" s="35">
        <f t="shared" si="196"/>
        <v>4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272.52487096704419</v>
      </c>
      <c r="AD180" s="57">
        <v>0</v>
      </c>
      <c r="AE180" s="57">
        <v>0</v>
      </c>
      <c r="AF180" s="61">
        <f t="shared" si="184"/>
        <v>4</v>
      </c>
      <c r="AG180" s="40">
        <f t="shared" si="197"/>
        <v>0</v>
      </c>
      <c r="AH180" s="40">
        <f t="shared" si="198"/>
        <v>0</v>
      </c>
      <c r="AI180" s="44">
        <f t="shared" si="199"/>
        <v>1090.0994838681768</v>
      </c>
      <c r="AJ180" s="35">
        <f t="shared" si="185"/>
        <v>4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294.8312207493471</v>
      </c>
      <c r="AL180" s="57">
        <v>0</v>
      </c>
      <c r="AM180" s="57">
        <v>0</v>
      </c>
      <c r="AN180" s="61">
        <f t="shared" si="186"/>
        <v>4</v>
      </c>
      <c r="AO180" s="40">
        <f t="shared" si="200"/>
        <v>0</v>
      </c>
      <c r="AP180" s="40">
        <f t="shared" si="201"/>
        <v>0</v>
      </c>
      <c r="AQ180" s="44">
        <f t="shared" si="202"/>
        <v>1179.3248829973884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21</v>
      </c>
      <c r="G181" s="35">
        <f>SUMIFS(WORKING!$AC$3:$AC$6802,WORKING!$A$3:$A$6802,Results!$D$3,WORKING!$B$3:$B$6802,Results!A181,WORKING!$C$3:$C$6802,Results!C181)/1000</f>
        <v>4662.8628400000007</v>
      </c>
      <c r="H181" s="35">
        <f t="shared" si="187"/>
        <v>222.04108761904766</v>
      </c>
      <c r="I181" s="187">
        <v>19</v>
      </c>
      <c r="J181" s="212">
        <v>4831.4285714285716</v>
      </c>
      <c r="K181" s="217">
        <f t="shared" si="188"/>
        <v>254.28571428571431</v>
      </c>
      <c r="L181" s="34">
        <f t="shared" si="181"/>
        <v>19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276.48262250717175</v>
      </c>
      <c r="N181" s="57">
        <v>0</v>
      </c>
      <c r="O181" s="57">
        <v>0</v>
      </c>
      <c r="P181" s="61">
        <f t="shared" si="182"/>
        <v>19</v>
      </c>
      <c r="Q181" s="40">
        <f t="shared" si="189"/>
        <v>0</v>
      </c>
      <c r="R181" s="40">
        <f t="shared" si="190"/>
        <v>0</v>
      </c>
      <c r="S181" s="44">
        <f t="shared" si="191"/>
        <v>5253.1698276362631</v>
      </c>
      <c r="T181" s="35">
        <f t="shared" si="192"/>
        <v>19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299.89154234068576</v>
      </c>
      <c r="V181" s="57">
        <v>0</v>
      </c>
      <c r="W181" s="57">
        <v>0</v>
      </c>
      <c r="X181" s="61">
        <f t="shared" si="183"/>
        <v>19</v>
      </c>
      <c r="Y181" s="40">
        <f t="shared" si="193"/>
        <v>0</v>
      </c>
      <c r="Z181" s="40">
        <f t="shared" si="194"/>
        <v>0</v>
      </c>
      <c r="AA181" s="44">
        <f t="shared" si="195"/>
        <v>5697.9393044730296</v>
      </c>
      <c r="AB181" s="35">
        <f t="shared" si="196"/>
        <v>19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324.97851323218174</v>
      </c>
      <c r="AD181" s="57">
        <v>0</v>
      </c>
      <c r="AE181" s="57">
        <v>0</v>
      </c>
      <c r="AF181" s="61">
        <f t="shared" si="184"/>
        <v>19</v>
      </c>
      <c r="AG181" s="40">
        <f t="shared" si="197"/>
        <v>0</v>
      </c>
      <c r="AH181" s="40">
        <f t="shared" si="198"/>
        <v>0</v>
      </c>
      <c r="AI181" s="44">
        <f t="shared" si="199"/>
        <v>6174.5917514114535</v>
      </c>
      <c r="AJ181" s="35">
        <f t="shared" si="185"/>
        <v>19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351.50543232651103</v>
      </c>
      <c r="AL181" s="57">
        <v>0</v>
      </c>
      <c r="AM181" s="57">
        <v>0</v>
      </c>
      <c r="AN181" s="61">
        <f t="shared" si="186"/>
        <v>19</v>
      </c>
      <c r="AO181" s="40">
        <f t="shared" si="200"/>
        <v>0</v>
      </c>
      <c r="AP181" s="40">
        <f t="shared" si="201"/>
        <v>0</v>
      </c>
      <c r="AQ181" s="44">
        <f t="shared" si="202"/>
        <v>6678.6032142037093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67</v>
      </c>
      <c r="G182" s="35">
        <f>SUMIFS(WORKING!$AC$3:$AC$6802,WORKING!$A$3:$A$6802,Results!$D$3,WORKING!$B$3:$B$6802,Results!A182,WORKING!$C$3:$C$6802,Results!C182)/1000</f>
        <v>19092.752290000011</v>
      </c>
      <c r="H182" s="35">
        <f t="shared" si="187"/>
        <v>284.96645208955243</v>
      </c>
      <c r="I182" s="187">
        <v>10</v>
      </c>
      <c r="J182" s="212">
        <v>3148</v>
      </c>
      <c r="K182" s="217">
        <f t="shared" si="188"/>
        <v>314.8</v>
      </c>
      <c r="L182" s="34">
        <f t="shared" si="181"/>
        <v>10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343.42678722531667</v>
      </c>
      <c r="N182" s="57">
        <v>0</v>
      </c>
      <c r="O182" s="57">
        <v>0</v>
      </c>
      <c r="P182" s="61">
        <f t="shared" si="182"/>
        <v>10</v>
      </c>
      <c r="Q182" s="40">
        <f t="shared" si="189"/>
        <v>0</v>
      </c>
      <c r="R182" s="40">
        <f t="shared" si="190"/>
        <v>0</v>
      </c>
      <c r="S182" s="44">
        <f t="shared" si="191"/>
        <v>3434.2678722531668</v>
      </c>
      <c r="T182" s="35">
        <f t="shared" si="192"/>
        <v>10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372.85990160299298</v>
      </c>
      <c r="V182" s="57">
        <v>0</v>
      </c>
      <c r="W182" s="57">
        <v>0</v>
      </c>
      <c r="X182" s="61">
        <f t="shared" si="183"/>
        <v>10</v>
      </c>
      <c r="Y182" s="40">
        <f t="shared" si="193"/>
        <v>0</v>
      </c>
      <c r="Z182" s="40">
        <f t="shared" si="194"/>
        <v>0</v>
      </c>
      <c r="AA182" s="44">
        <f t="shared" si="195"/>
        <v>3728.5990160299298</v>
      </c>
      <c r="AB182" s="35">
        <f t="shared" si="196"/>
        <v>10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404.43726728539633</v>
      </c>
      <c r="AD182" s="57">
        <v>0</v>
      </c>
      <c r="AE182" s="57">
        <v>0</v>
      </c>
      <c r="AF182" s="61">
        <f t="shared" si="184"/>
        <v>10</v>
      </c>
      <c r="AG182" s="40">
        <f t="shared" si="197"/>
        <v>0</v>
      </c>
      <c r="AH182" s="40">
        <f t="shared" si="198"/>
        <v>0</v>
      </c>
      <c r="AI182" s="44">
        <f t="shared" si="199"/>
        <v>4044.3726728539632</v>
      </c>
      <c r="AJ182" s="35">
        <f t="shared" si="185"/>
        <v>10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437.8682540001588</v>
      </c>
      <c r="AL182" s="57">
        <v>0</v>
      </c>
      <c r="AM182" s="57">
        <v>0</v>
      </c>
      <c r="AN182" s="61">
        <f t="shared" si="186"/>
        <v>10</v>
      </c>
      <c r="AO182" s="40">
        <f t="shared" si="200"/>
        <v>0</v>
      </c>
      <c r="AP182" s="40">
        <f t="shared" si="201"/>
        <v>0</v>
      </c>
      <c r="AQ182" s="44">
        <f t="shared" si="202"/>
        <v>4378.6825400015878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8</v>
      </c>
      <c r="G183" s="35">
        <f>SUMIFS(WORKING!$AC$3:$AC$6802,WORKING!$A$3:$A$6802,Results!$D$3,WORKING!$B$3:$B$6802,Results!A183,WORKING!$C$3:$C$6802,Results!C183)/1000</f>
        <v>3119.4648099999999</v>
      </c>
      <c r="H183" s="35">
        <f t="shared" si="187"/>
        <v>389.93310124999999</v>
      </c>
      <c r="I183" s="187">
        <v>32</v>
      </c>
      <c r="J183" s="212">
        <v>11144</v>
      </c>
      <c r="K183" s="217">
        <f t="shared" si="188"/>
        <v>348.25</v>
      </c>
      <c r="L183" s="34">
        <f t="shared" si="181"/>
        <v>32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379.38384752707765</v>
      </c>
      <c r="N183" s="57">
        <v>0</v>
      </c>
      <c r="O183" s="57">
        <v>0</v>
      </c>
      <c r="P183" s="61">
        <f t="shared" si="182"/>
        <v>32</v>
      </c>
      <c r="Q183" s="40">
        <f t="shared" si="189"/>
        <v>0</v>
      </c>
      <c r="R183" s="40">
        <f t="shared" si="190"/>
        <v>0</v>
      </c>
      <c r="S183" s="44">
        <f t="shared" si="191"/>
        <v>12140.283120866485</v>
      </c>
      <c r="T183" s="35">
        <f t="shared" si="192"/>
        <v>32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411.7343138177938</v>
      </c>
      <c r="V183" s="57">
        <v>0</v>
      </c>
      <c r="W183" s="57">
        <v>0</v>
      </c>
      <c r="X183" s="61">
        <f t="shared" si="183"/>
        <v>32</v>
      </c>
      <c r="Y183" s="40">
        <f t="shared" si="193"/>
        <v>0</v>
      </c>
      <c r="Z183" s="40">
        <f t="shared" si="194"/>
        <v>0</v>
      </c>
      <c r="AA183" s="44">
        <f t="shared" si="195"/>
        <v>13175.498042169402</v>
      </c>
      <c r="AB183" s="35">
        <f t="shared" si="196"/>
        <v>32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446.42575559959403</v>
      </c>
      <c r="AD183" s="57">
        <v>0</v>
      </c>
      <c r="AE183" s="57">
        <v>0</v>
      </c>
      <c r="AF183" s="61">
        <f t="shared" si="184"/>
        <v>32</v>
      </c>
      <c r="AG183" s="40">
        <f t="shared" si="197"/>
        <v>0</v>
      </c>
      <c r="AH183" s="40">
        <f t="shared" si="198"/>
        <v>0</v>
      </c>
      <c r="AI183" s="44">
        <f t="shared" si="199"/>
        <v>14285.624179187009</v>
      </c>
      <c r="AJ183" s="35">
        <f t="shared" si="185"/>
        <v>32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483.13465420760355</v>
      </c>
      <c r="AL183" s="57">
        <v>0</v>
      </c>
      <c r="AM183" s="57">
        <v>0</v>
      </c>
      <c r="AN183" s="61">
        <f t="shared" si="186"/>
        <v>32</v>
      </c>
      <c r="AO183" s="40">
        <f t="shared" si="200"/>
        <v>0</v>
      </c>
      <c r="AP183" s="40">
        <f t="shared" si="201"/>
        <v>0</v>
      </c>
      <c r="AQ183" s="44">
        <f t="shared" si="202"/>
        <v>15460.308934643313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21</v>
      </c>
      <c r="G184" s="35">
        <f>SUMIFS(WORKING!$AC$3:$AC$6802,WORKING!$A$3:$A$6802,Results!$D$3,WORKING!$B$3:$B$6802,Results!A184,WORKING!$C$3:$C$6802,Results!C184)/1000</f>
        <v>8898.9523399999998</v>
      </c>
      <c r="H184" s="35">
        <f t="shared" si="187"/>
        <v>423.75963523809526</v>
      </c>
      <c r="I184" s="187">
        <v>16</v>
      </c>
      <c r="J184" s="212">
        <v>6635.7333333333336</v>
      </c>
      <c r="K184" s="217">
        <f t="shared" si="188"/>
        <v>414.73333333333335</v>
      </c>
      <c r="L184" s="34">
        <f t="shared" si="181"/>
        <v>16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452.41579794010812</v>
      </c>
      <c r="N184" s="57">
        <v>0</v>
      </c>
      <c r="O184" s="57">
        <v>0</v>
      </c>
      <c r="P184" s="61">
        <f t="shared" si="182"/>
        <v>16</v>
      </c>
      <c r="Q184" s="40">
        <f t="shared" si="189"/>
        <v>0</v>
      </c>
      <c r="R184" s="40">
        <f t="shared" si="190"/>
        <v>0</v>
      </c>
      <c r="S184" s="44">
        <f t="shared" si="191"/>
        <v>7238.6527670417299</v>
      </c>
      <c r="T184" s="35">
        <f t="shared" si="192"/>
        <v>16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491.17965147979623</v>
      </c>
      <c r="V184" s="57">
        <v>0</v>
      </c>
      <c r="W184" s="57">
        <v>0</v>
      </c>
      <c r="X184" s="61">
        <f t="shared" si="183"/>
        <v>16</v>
      </c>
      <c r="Y184" s="40">
        <f t="shared" si="193"/>
        <v>0</v>
      </c>
      <c r="Z184" s="40">
        <f t="shared" si="194"/>
        <v>0</v>
      </c>
      <c r="AA184" s="44">
        <f t="shared" si="195"/>
        <v>7858.8744236767398</v>
      </c>
      <c r="AB184" s="35">
        <f t="shared" si="196"/>
        <v>16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532.7665789332508</v>
      </c>
      <c r="AD184" s="57">
        <v>0</v>
      </c>
      <c r="AE184" s="57">
        <v>0</v>
      </c>
      <c r="AF184" s="61">
        <f t="shared" si="184"/>
        <v>16</v>
      </c>
      <c r="AG184" s="40">
        <f t="shared" si="197"/>
        <v>0</v>
      </c>
      <c r="AH184" s="40">
        <f t="shared" si="198"/>
        <v>0</v>
      </c>
      <c r="AI184" s="44">
        <f t="shared" si="199"/>
        <v>8524.2652629320128</v>
      </c>
      <c r="AJ184" s="35">
        <f t="shared" si="185"/>
        <v>16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576.79361308850696</v>
      </c>
      <c r="AL184" s="57">
        <v>0</v>
      </c>
      <c r="AM184" s="57">
        <v>0</v>
      </c>
      <c r="AN184" s="61">
        <f t="shared" si="186"/>
        <v>16</v>
      </c>
      <c r="AO184" s="40">
        <f t="shared" si="200"/>
        <v>0</v>
      </c>
      <c r="AP184" s="40">
        <f t="shared" si="201"/>
        <v>0</v>
      </c>
      <c r="AQ184" s="44">
        <f t="shared" si="202"/>
        <v>9228.6978094161113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13</v>
      </c>
      <c r="G185" s="35">
        <f>SUMIFS(WORKING!$AC$3:$AC$6802,WORKING!$A$3:$A$6802,Results!$D$3,WORKING!$B$3:$B$6802,Results!A185,WORKING!$C$3:$C$6802,Results!C185)/1000</f>
        <v>6783.9328699999987</v>
      </c>
      <c r="H185" s="35">
        <f t="shared" si="187"/>
        <v>521.84098999999992</v>
      </c>
      <c r="I185" s="187">
        <v>12</v>
      </c>
      <c r="J185" s="212">
        <v>5977.090909090909</v>
      </c>
      <c r="K185" s="217">
        <f t="shared" si="188"/>
        <v>498.09090909090907</v>
      </c>
      <c r="L185" s="34">
        <f t="shared" si="181"/>
        <v>12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542.92107995405047</v>
      </c>
      <c r="N185" s="57">
        <v>0</v>
      </c>
      <c r="O185" s="57">
        <v>0</v>
      </c>
      <c r="P185" s="61">
        <f t="shared" si="182"/>
        <v>12</v>
      </c>
      <c r="Q185" s="40">
        <f t="shared" si="189"/>
        <v>0</v>
      </c>
      <c r="R185" s="40">
        <f t="shared" si="190"/>
        <v>0</v>
      </c>
      <c r="S185" s="44">
        <f t="shared" si="191"/>
        <v>6515.0529594486052</v>
      </c>
      <c r="T185" s="35">
        <f t="shared" si="192"/>
        <v>12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589.30851049237594</v>
      </c>
      <c r="V185" s="57">
        <v>0</v>
      </c>
      <c r="W185" s="57">
        <v>0</v>
      </c>
      <c r="X185" s="61">
        <f t="shared" si="183"/>
        <v>12</v>
      </c>
      <c r="Y185" s="40">
        <f t="shared" si="193"/>
        <v>0</v>
      </c>
      <c r="Z185" s="40">
        <f t="shared" si="194"/>
        <v>0</v>
      </c>
      <c r="AA185" s="44">
        <f t="shared" si="195"/>
        <v>7071.7021259085113</v>
      </c>
      <c r="AB185" s="35">
        <f t="shared" si="196"/>
        <v>12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639.06159145948254</v>
      </c>
      <c r="AD185" s="57">
        <v>0</v>
      </c>
      <c r="AE185" s="57">
        <v>0</v>
      </c>
      <c r="AF185" s="61">
        <f t="shared" si="184"/>
        <v>12</v>
      </c>
      <c r="AG185" s="40">
        <f t="shared" si="197"/>
        <v>0</v>
      </c>
      <c r="AH185" s="40">
        <f t="shared" si="198"/>
        <v>0</v>
      </c>
      <c r="AI185" s="44">
        <f t="shared" si="199"/>
        <v>7668.7390975137905</v>
      </c>
      <c r="AJ185" s="35">
        <f t="shared" si="185"/>
        <v>12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691.71878431202344</v>
      </c>
      <c r="AL185" s="57">
        <v>0</v>
      </c>
      <c r="AM185" s="57">
        <v>0</v>
      </c>
      <c r="AN185" s="61">
        <f t="shared" si="186"/>
        <v>12</v>
      </c>
      <c r="AO185" s="40">
        <f t="shared" si="200"/>
        <v>0</v>
      </c>
      <c r="AP185" s="40">
        <f t="shared" si="201"/>
        <v>0</v>
      </c>
      <c r="AQ185" s="44">
        <f t="shared" si="202"/>
        <v>8300.6254117442804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36</v>
      </c>
      <c r="G186" s="35">
        <f>SUMIFS(WORKING!$AC$3:$AC$6802,WORKING!$A$3:$A$6802,Results!$D$3,WORKING!$B$3:$B$6802,Results!A186,WORKING!$C$3:$C$6802,Results!C186)/1000</f>
        <v>25083.42051</v>
      </c>
      <c r="H186" s="35">
        <f t="shared" si="187"/>
        <v>696.76168083333334</v>
      </c>
      <c r="I186" s="187">
        <v>30</v>
      </c>
      <c r="J186" s="212">
        <v>18113.333333333336</v>
      </c>
      <c r="K186" s="217">
        <f t="shared" si="188"/>
        <v>603.77777777777783</v>
      </c>
      <c r="L186" s="34">
        <f t="shared" si="181"/>
        <v>30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659.17144275601379</v>
      </c>
      <c r="N186" s="57">
        <v>0</v>
      </c>
      <c r="O186" s="57">
        <v>0</v>
      </c>
      <c r="P186" s="61">
        <f t="shared" si="182"/>
        <v>30</v>
      </c>
      <c r="Q186" s="40">
        <f t="shared" si="189"/>
        <v>0</v>
      </c>
      <c r="R186" s="40">
        <f t="shared" si="190"/>
        <v>0</v>
      </c>
      <c r="S186" s="44">
        <f t="shared" si="191"/>
        <v>19775.143282680412</v>
      </c>
      <c r="T186" s="35">
        <f t="shared" si="192"/>
        <v>30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715.63430356586923</v>
      </c>
      <c r="V186" s="57">
        <v>0</v>
      </c>
      <c r="W186" s="57">
        <v>0</v>
      </c>
      <c r="X186" s="61">
        <f t="shared" si="183"/>
        <v>30</v>
      </c>
      <c r="Y186" s="40">
        <f t="shared" si="193"/>
        <v>0</v>
      </c>
      <c r="Z186" s="40">
        <f t="shared" si="194"/>
        <v>0</v>
      </c>
      <c r="AA186" s="44">
        <f t="shared" si="195"/>
        <v>21469.029106976079</v>
      </c>
      <c r="AB186" s="35">
        <f t="shared" si="196"/>
        <v>30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776.20751566088063</v>
      </c>
      <c r="AD186" s="57">
        <v>0</v>
      </c>
      <c r="AE186" s="57">
        <v>0</v>
      </c>
      <c r="AF186" s="61">
        <f t="shared" si="184"/>
        <v>30</v>
      </c>
      <c r="AG186" s="40">
        <f t="shared" si="197"/>
        <v>0</v>
      </c>
      <c r="AH186" s="40">
        <f t="shared" si="198"/>
        <v>0</v>
      </c>
      <c r="AI186" s="44">
        <f t="shared" si="199"/>
        <v>23286.225469826419</v>
      </c>
      <c r="AJ186" s="35">
        <f t="shared" si="185"/>
        <v>30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840.33267579590927</v>
      </c>
      <c r="AL186" s="57">
        <v>0</v>
      </c>
      <c r="AM186" s="57">
        <v>0</v>
      </c>
      <c r="AN186" s="61">
        <f t="shared" si="186"/>
        <v>30</v>
      </c>
      <c r="AO186" s="40">
        <f t="shared" si="200"/>
        <v>0</v>
      </c>
      <c r="AP186" s="40">
        <f t="shared" si="201"/>
        <v>0</v>
      </c>
      <c r="AQ186" s="44">
        <f t="shared" si="202"/>
        <v>25209.980273877278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21</v>
      </c>
      <c r="G187" s="35">
        <f>SUMIFS(WORKING!$AC$3:$AC$6802,WORKING!$A$3:$A$6802,Results!$D$3,WORKING!$B$3:$B$6802,Results!A187,WORKING!$C$3:$C$6802,Results!C187)/1000</f>
        <v>15344.383859999996</v>
      </c>
      <c r="H187" s="35">
        <f t="shared" si="187"/>
        <v>730.6849457142855</v>
      </c>
      <c r="I187" s="187">
        <v>14</v>
      </c>
      <c r="J187" s="212">
        <v>10000</v>
      </c>
      <c r="K187" s="217">
        <f t="shared" si="188"/>
        <v>714.28571428571433</v>
      </c>
      <c r="L187" s="34">
        <f t="shared" si="181"/>
        <v>14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779.87158553932886</v>
      </c>
      <c r="N187" s="57">
        <v>0</v>
      </c>
      <c r="O187" s="57">
        <v>0</v>
      </c>
      <c r="P187" s="61">
        <f t="shared" si="182"/>
        <v>14</v>
      </c>
      <c r="Q187" s="40">
        <f t="shared" si="189"/>
        <v>0</v>
      </c>
      <c r="R187" s="40">
        <f t="shared" si="190"/>
        <v>0</v>
      </c>
      <c r="S187" s="44">
        <f t="shared" si="191"/>
        <v>10918.202197550603</v>
      </c>
      <c r="T187" s="35">
        <f t="shared" si="192"/>
        <v>14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846.73153858510852</v>
      </c>
      <c r="V187" s="57">
        <v>0</v>
      </c>
      <c r="W187" s="57">
        <v>0</v>
      </c>
      <c r="X187" s="61">
        <f t="shared" si="183"/>
        <v>14</v>
      </c>
      <c r="Y187" s="40">
        <f t="shared" si="193"/>
        <v>0</v>
      </c>
      <c r="Z187" s="40">
        <f t="shared" si="194"/>
        <v>0</v>
      </c>
      <c r="AA187" s="44">
        <f t="shared" si="195"/>
        <v>11854.241540191519</v>
      </c>
      <c r="AB187" s="35">
        <f t="shared" si="196"/>
        <v>14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918.46434845186729</v>
      </c>
      <c r="AD187" s="57">
        <v>0</v>
      </c>
      <c r="AE187" s="57">
        <v>0</v>
      </c>
      <c r="AF187" s="61">
        <f t="shared" si="184"/>
        <v>14</v>
      </c>
      <c r="AG187" s="40">
        <f t="shared" si="197"/>
        <v>0</v>
      </c>
      <c r="AH187" s="40">
        <f t="shared" si="198"/>
        <v>0</v>
      </c>
      <c r="AI187" s="44">
        <f t="shared" si="199"/>
        <v>12858.500878326142</v>
      </c>
      <c r="AJ187" s="35">
        <f t="shared" si="185"/>
        <v>14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994.41023159580629</v>
      </c>
      <c r="AL187" s="57">
        <v>0</v>
      </c>
      <c r="AM187" s="57">
        <v>0</v>
      </c>
      <c r="AN187" s="61">
        <f t="shared" si="186"/>
        <v>14</v>
      </c>
      <c r="AO187" s="40">
        <f t="shared" si="200"/>
        <v>0</v>
      </c>
      <c r="AP187" s="40">
        <f t="shared" si="201"/>
        <v>0</v>
      </c>
      <c r="AQ187" s="44">
        <f t="shared" si="202"/>
        <v>13921.743242341288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16</v>
      </c>
      <c r="G188" s="35">
        <f>SUMIFS(WORKING!$AC$3:$AC$6802,WORKING!$A$3:$A$6802,Results!$D$3,WORKING!$B$3:$B$6802,Results!A188,WORKING!$C$3:$C$6802,Results!C188)/1000</f>
        <v>14412.8208</v>
      </c>
      <c r="H188" s="35">
        <f t="shared" si="187"/>
        <v>900.80129999999997</v>
      </c>
      <c r="I188" s="187">
        <v>17</v>
      </c>
      <c r="J188" s="212">
        <v>15447.333333333332</v>
      </c>
      <c r="K188" s="217">
        <f t="shared" si="188"/>
        <v>908.66666666666663</v>
      </c>
      <c r="L188" s="34">
        <f t="shared" si="181"/>
        <v>17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952.40918407826291</v>
      </c>
      <c r="N188" s="57">
        <v>0</v>
      </c>
      <c r="O188" s="57">
        <v>0</v>
      </c>
      <c r="P188" s="61">
        <f t="shared" si="182"/>
        <v>17</v>
      </c>
      <c r="Q188" s="40">
        <f t="shared" si="189"/>
        <v>0</v>
      </c>
      <c r="R188" s="40">
        <f t="shared" si="190"/>
        <v>0</v>
      </c>
      <c r="S188" s="44">
        <f t="shared" si="191"/>
        <v>16190.956129330469</v>
      </c>
      <c r="T188" s="35">
        <f t="shared" si="192"/>
        <v>17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1024.3493501873465</v>
      </c>
      <c r="V188" s="57">
        <v>0</v>
      </c>
      <c r="W188" s="57">
        <v>0</v>
      </c>
      <c r="X188" s="61">
        <f t="shared" si="183"/>
        <v>17</v>
      </c>
      <c r="Y188" s="40">
        <f t="shared" si="193"/>
        <v>0</v>
      </c>
      <c r="Z188" s="40">
        <f t="shared" si="194"/>
        <v>0</v>
      </c>
      <c r="AA188" s="44">
        <f t="shared" si="195"/>
        <v>17413.93895318489</v>
      </c>
      <c r="AB188" s="35">
        <f t="shared" si="196"/>
        <v>17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1100.6841502858938</v>
      </c>
      <c r="AD188" s="57">
        <v>0</v>
      </c>
      <c r="AE188" s="57">
        <v>0</v>
      </c>
      <c r="AF188" s="61">
        <f t="shared" si="184"/>
        <v>17</v>
      </c>
      <c r="AG188" s="40">
        <f t="shared" si="197"/>
        <v>0</v>
      </c>
      <c r="AH188" s="40">
        <f t="shared" si="198"/>
        <v>0</v>
      </c>
      <c r="AI188" s="44">
        <f t="shared" si="199"/>
        <v>18711.630554860196</v>
      </c>
      <c r="AJ188" s="35">
        <f t="shared" si="185"/>
        <v>17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1180.4738103671209</v>
      </c>
      <c r="AL188" s="57">
        <v>0</v>
      </c>
      <c r="AM188" s="57">
        <v>0</v>
      </c>
      <c r="AN188" s="61">
        <f t="shared" si="186"/>
        <v>17</v>
      </c>
      <c r="AO188" s="40">
        <f t="shared" si="200"/>
        <v>0</v>
      </c>
      <c r="AP188" s="40">
        <f t="shared" si="201"/>
        <v>0</v>
      </c>
      <c r="AQ188" s="44">
        <f t="shared" si="202"/>
        <v>20068.054776241057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7</v>
      </c>
      <c r="G189" s="35">
        <f>SUMIFS(WORKING!$AC$3:$AC$6802,WORKING!$A$3:$A$6802,Results!$D$3,WORKING!$B$3:$B$6802,Results!A189,WORKING!$C$3:$C$6802,Results!C189)/1000</f>
        <v>7659.0671999999995</v>
      </c>
      <c r="H189" s="35">
        <f t="shared" si="187"/>
        <v>1094.152457142857</v>
      </c>
      <c r="I189" s="187">
        <v>4</v>
      </c>
      <c r="J189" s="212">
        <v>4180.8</v>
      </c>
      <c r="K189" s="217">
        <f t="shared" si="188"/>
        <v>1045.2</v>
      </c>
      <c r="L189" s="34">
        <f t="shared" si="181"/>
        <v>4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1095.4393870377417</v>
      </c>
      <c r="N189" s="57">
        <v>1</v>
      </c>
      <c r="O189" s="57">
        <v>0</v>
      </c>
      <c r="P189" s="61">
        <f t="shared" si="182"/>
        <v>5</v>
      </c>
      <c r="Q189" s="40">
        <f t="shared" si="189"/>
        <v>1095.4393870377417</v>
      </c>
      <c r="R189" s="40">
        <f t="shared" si="190"/>
        <v>0</v>
      </c>
      <c r="S189" s="44">
        <f t="shared" si="191"/>
        <v>5477.1969351887083</v>
      </c>
      <c r="T189" s="35">
        <f t="shared" si="192"/>
        <v>5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1178.1018743815741</v>
      </c>
      <c r="V189" s="57">
        <v>0</v>
      </c>
      <c r="W189" s="57">
        <v>0</v>
      </c>
      <c r="X189" s="61">
        <f t="shared" si="183"/>
        <v>5</v>
      </c>
      <c r="Y189" s="40">
        <f t="shared" si="193"/>
        <v>0</v>
      </c>
      <c r="Z189" s="40">
        <f t="shared" si="194"/>
        <v>0</v>
      </c>
      <c r="AA189" s="44">
        <f t="shared" si="195"/>
        <v>5890.5093719078704</v>
      </c>
      <c r="AB189" s="35">
        <f t="shared" si="196"/>
        <v>5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1265.8068356314523</v>
      </c>
      <c r="AD189" s="57">
        <v>0</v>
      </c>
      <c r="AE189" s="57">
        <v>0</v>
      </c>
      <c r="AF189" s="61">
        <f t="shared" si="184"/>
        <v>5</v>
      </c>
      <c r="AG189" s="40">
        <f t="shared" si="197"/>
        <v>0</v>
      </c>
      <c r="AH189" s="40">
        <f t="shared" si="198"/>
        <v>0</v>
      </c>
      <c r="AI189" s="44">
        <f t="shared" si="199"/>
        <v>6329.0341781572615</v>
      </c>
      <c r="AJ189" s="35">
        <f t="shared" si="185"/>
        <v>5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1357.4725412218106</v>
      </c>
      <c r="AL189" s="57">
        <v>0</v>
      </c>
      <c r="AM189" s="57">
        <v>0</v>
      </c>
      <c r="AN189" s="61">
        <f t="shared" si="186"/>
        <v>5</v>
      </c>
      <c r="AO189" s="40">
        <f t="shared" si="200"/>
        <v>0</v>
      </c>
      <c r="AP189" s="40">
        <f t="shared" si="201"/>
        <v>0</v>
      </c>
      <c r="AQ189" s="44">
        <f t="shared" si="202"/>
        <v>6787.3627061090529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2</v>
      </c>
      <c r="G190" s="35">
        <f>SUMIFS(WORKING!$AC$3:$AC$6802,WORKING!$A$3:$A$6802,Results!$D$3,WORKING!$B$3:$B$6802,Results!A190,WORKING!$C$3:$C$6802,Results!C190)/1000</f>
        <v>2535.7582599999996</v>
      </c>
      <c r="H190" s="35">
        <f t="shared" si="187"/>
        <v>1267.8791299999998</v>
      </c>
      <c r="I190" s="187">
        <v>2</v>
      </c>
      <c r="J190" s="212">
        <v>2490</v>
      </c>
      <c r="K190" s="217">
        <f t="shared" si="188"/>
        <v>1245</v>
      </c>
      <c r="L190" s="34">
        <f t="shared" si="181"/>
        <v>2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1304.6962182903883</v>
      </c>
      <c r="N190" s="57">
        <v>0</v>
      </c>
      <c r="O190" s="57">
        <v>0</v>
      </c>
      <c r="P190" s="61">
        <f t="shared" si="182"/>
        <v>2</v>
      </c>
      <c r="Q190" s="40">
        <f t="shared" si="189"/>
        <v>0</v>
      </c>
      <c r="R190" s="40">
        <f t="shared" si="190"/>
        <v>0</v>
      </c>
      <c r="S190" s="44">
        <f t="shared" si="191"/>
        <v>2609.3924365807766</v>
      </c>
      <c r="T190" s="35">
        <f t="shared" si="192"/>
        <v>2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1402.9913694215509</v>
      </c>
      <c r="V190" s="57">
        <v>0</v>
      </c>
      <c r="W190" s="57">
        <v>0</v>
      </c>
      <c r="X190" s="61">
        <f t="shared" si="183"/>
        <v>2</v>
      </c>
      <c r="Y190" s="40">
        <f t="shared" si="193"/>
        <v>0</v>
      </c>
      <c r="Z190" s="40">
        <f t="shared" si="194"/>
        <v>0</v>
      </c>
      <c r="AA190" s="44">
        <f t="shared" si="195"/>
        <v>2805.9827388431017</v>
      </c>
      <c r="AB190" s="35">
        <f t="shared" si="196"/>
        <v>2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1507.2687330021527</v>
      </c>
      <c r="AD190" s="57">
        <v>0</v>
      </c>
      <c r="AE190" s="57">
        <v>0</v>
      </c>
      <c r="AF190" s="61">
        <f t="shared" si="184"/>
        <v>2</v>
      </c>
      <c r="AG190" s="40">
        <f t="shared" si="197"/>
        <v>0</v>
      </c>
      <c r="AH190" s="40">
        <f t="shared" si="198"/>
        <v>0</v>
      </c>
      <c r="AI190" s="44">
        <f t="shared" si="199"/>
        <v>3014.5374660043053</v>
      </c>
      <c r="AJ190" s="35">
        <f t="shared" si="185"/>
        <v>2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1616.2383523649551</v>
      </c>
      <c r="AL190" s="57">
        <v>0</v>
      </c>
      <c r="AM190" s="57">
        <v>0</v>
      </c>
      <c r="AN190" s="61">
        <f t="shared" si="186"/>
        <v>2</v>
      </c>
      <c r="AO190" s="40">
        <f t="shared" si="200"/>
        <v>0</v>
      </c>
      <c r="AP190" s="40">
        <f t="shared" si="201"/>
        <v>0</v>
      </c>
      <c r="AQ190" s="44">
        <f t="shared" si="202"/>
        <v>3232.4767047299101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>
        <v>0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246</v>
      </c>
      <c r="G196" s="41">
        <f>SUM(G176:G195)</f>
        <v>110359.93285000003</v>
      </c>
      <c r="H196" s="41">
        <f>IFERROR(G196/F196,0)</f>
        <v>448.61761321138221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174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83884.719480519489</v>
      </c>
      <c r="K196" s="41">
        <f>IFERROR(J196/I196,"")</f>
        <v>482.09608896850278</v>
      </c>
      <c r="L196" s="41">
        <f>SUM(L176:L195)</f>
        <v>174</v>
      </c>
      <c r="M196" s="41">
        <f>IFERROR(S196/P196,0)</f>
        <v>532.23152323689339</v>
      </c>
      <c r="N196" s="41">
        <f t="shared" ref="N196:T196" si="203">SUM(N176:N195)</f>
        <v>1</v>
      </c>
      <c r="O196" s="41">
        <f t="shared" si="203"/>
        <v>5</v>
      </c>
      <c r="P196" s="41">
        <f t="shared" si="203"/>
        <v>170</v>
      </c>
      <c r="Q196" s="41">
        <f t="shared" si="203"/>
        <v>1095.4393870377417</v>
      </c>
      <c r="R196" s="41">
        <f t="shared" si="203"/>
        <v>-1158.8017771183129</v>
      </c>
      <c r="S196" s="45">
        <f t="shared" si="203"/>
        <v>90479.358950271882</v>
      </c>
      <c r="T196" s="41">
        <f t="shared" si="203"/>
        <v>170</v>
      </c>
      <c r="U196" s="41">
        <f>IFERROR(AA196/X196,0)</f>
        <v>576.3062025693564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170</v>
      </c>
      <c r="Y196" s="41">
        <f t="shared" si="204"/>
        <v>0</v>
      </c>
      <c r="Z196" s="41">
        <f t="shared" si="204"/>
        <v>0</v>
      </c>
      <c r="AA196" s="45">
        <f t="shared" si="204"/>
        <v>97972.054436790582</v>
      </c>
      <c r="AB196" s="41">
        <f t="shared" si="204"/>
        <v>170</v>
      </c>
      <c r="AC196" s="41">
        <f>IFERROR(AI196/AF196,0)</f>
        <v>623.45659408788663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170</v>
      </c>
      <c r="AG196" s="41">
        <f t="shared" si="205"/>
        <v>0</v>
      </c>
      <c r="AH196" s="41">
        <f t="shared" si="205"/>
        <v>0</v>
      </c>
      <c r="AI196" s="45">
        <f t="shared" si="205"/>
        <v>105987.62099494073</v>
      </c>
      <c r="AJ196" s="41">
        <f t="shared" si="205"/>
        <v>170</v>
      </c>
      <c r="AK196" s="41">
        <f>IFERROR(AQ196/AN196,0)</f>
        <v>673.21094409591149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170</v>
      </c>
      <c r="AO196" s="41">
        <f t="shared" si="206"/>
        <v>0</v>
      </c>
      <c r="AP196" s="41">
        <f t="shared" si="206"/>
        <v>0</v>
      </c>
      <c r="AQ196" s="45">
        <f t="shared" si="206"/>
        <v>114445.86049630496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77243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78150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80299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86401.724000000002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-13236.358950271882</v>
      </c>
      <c r="T198" s="39"/>
      <c r="U198" s="39"/>
      <c r="V198" s="53"/>
      <c r="W198" s="53"/>
      <c r="X198" s="110"/>
      <c r="Y198" s="39"/>
      <c r="Z198" s="39"/>
      <c r="AA198" s="54">
        <f>AA197-AA196</f>
        <v>-19822.054436790582</v>
      </c>
      <c r="AB198" s="39"/>
      <c r="AC198" s="53"/>
      <c r="AD198" s="53"/>
      <c r="AE198" s="110"/>
      <c r="AF198" s="39"/>
      <c r="AG198" s="39"/>
      <c r="AH198" s="39"/>
      <c r="AI198" s="54">
        <f>AI197-AI196</f>
        <v>-25688.620994940735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-28044.136496304956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K5xWEJKX7e0xEZp6hfOykTkOs03xgYgcWKDseGQFbkyj6F1i44z07TUxe2ER6fL/61IPD6HF7THay4SsY1knVg==" saltValue="K5/z6i6sW0hmaNw3Fmimd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Social Development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17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42671.498318518519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NAT_HRBP__42671.4983185185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HRBP-Vote17.xlsx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www.w3.org/XML/1998/namespace"/>
    <ds:schemaRef ds:uri="http://purl.org/dc/dcmitype/"/>
    <ds:schemaRef ds:uri="http://purl.org/dc/elements/1.1/"/>
    <ds:schemaRef ds:uri="http://schemas.microsoft.com/sharepoint/v3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df7ca258-5e24-45de-bd31-dbc76bc6765a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